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aasikuvv-my.sharepoint.com/personal/jelena_aasma_raasiku_ee/Documents/Dokumendid/2026. aasta Eelarveprojekt/Volikogu 10.02.2026/"/>
    </mc:Choice>
  </mc:AlternateContent>
  <xr:revisionPtr revIDLastSave="9" documentId="8_{B7C9BEB0-4B67-4528-9845-F8E9DB4D7EF1}" xr6:coauthVersionLast="47" xr6:coauthVersionMax="47" xr10:uidLastSave="{A1C5D124-1538-4760-B2D8-3BE97058929D}"/>
  <bookViews>
    <workbookView xWindow="-108" yWindow="-108" windowWidth="23256" windowHeight="13896" xr2:uid="{00000000-000D-0000-FFFF-FFFF00000000}"/>
  </bookViews>
  <sheets>
    <sheet name="Table 1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1" i="1" l="1"/>
  <c r="M12" i="1"/>
  <c r="M13" i="1"/>
  <c r="M14" i="1"/>
  <c r="M15" i="1"/>
  <c r="M16" i="1"/>
  <c r="M17" i="1"/>
  <c r="M18" i="1"/>
  <c r="M19" i="1"/>
  <c r="M20" i="1"/>
  <c r="M23" i="1"/>
  <c r="M25" i="1"/>
  <c r="M26" i="1"/>
  <c r="M28" i="1"/>
  <c r="M29" i="1"/>
  <c r="M30" i="1"/>
  <c r="M31" i="1"/>
  <c r="M32" i="1"/>
  <c r="M33" i="1"/>
  <c r="M34" i="1"/>
  <c r="M35" i="1"/>
  <c r="M36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7" i="1"/>
  <c r="M68" i="1"/>
  <c r="M71" i="1"/>
  <c r="M72" i="1"/>
  <c r="M73" i="1"/>
  <c r="M74" i="1"/>
  <c r="M75" i="1"/>
  <c r="M77" i="1"/>
  <c r="M78" i="1"/>
  <c r="M79" i="1"/>
  <c r="M80" i="1"/>
  <c r="M81" i="1"/>
  <c r="M83" i="1"/>
  <c r="M84" i="1"/>
  <c r="M85" i="1"/>
  <c r="M87" i="1"/>
  <c r="M88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6" i="1"/>
  <c r="M117" i="1"/>
  <c r="M119" i="1"/>
  <c r="M121" i="1"/>
  <c r="M122" i="1"/>
  <c r="M123" i="1"/>
  <c r="M124" i="1"/>
  <c r="M126" i="1"/>
  <c r="M127" i="1"/>
  <c r="M128" i="1"/>
  <c r="M129" i="1"/>
  <c r="M130" i="1"/>
  <c r="M131" i="1"/>
  <c r="M132" i="1"/>
  <c r="M134" i="1"/>
  <c r="M135" i="1"/>
  <c r="M136" i="1"/>
  <c r="M137" i="1"/>
  <c r="M138" i="1"/>
  <c r="M140" i="1"/>
  <c r="M142" i="1"/>
  <c r="M143" i="1"/>
  <c r="M144" i="1"/>
  <c r="M145" i="1"/>
  <c r="M146" i="1"/>
  <c r="M147" i="1"/>
  <c r="M148" i="1"/>
  <c r="M150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3" i="1"/>
  <c r="M204" i="1"/>
  <c r="M205" i="1"/>
  <c r="M207" i="1"/>
  <c r="M208" i="1"/>
  <c r="M209" i="1"/>
  <c r="M210" i="1"/>
  <c r="M211" i="1"/>
  <c r="M212" i="1"/>
  <c r="M213" i="1"/>
  <c r="M214" i="1"/>
  <c r="M215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2" i="1"/>
  <c r="M233" i="1"/>
  <c r="M235" i="1"/>
  <c r="M236" i="1"/>
  <c r="M4" i="1"/>
  <c r="M5" i="1"/>
  <c r="M6" i="1"/>
  <c r="M7" i="1"/>
  <c r="M8" i="1"/>
  <c r="M9" i="1"/>
  <c r="M10" i="1"/>
  <c r="M11" i="1"/>
  <c r="M3" i="1"/>
  <c r="K151" i="1"/>
  <c r="M151" i="1" s="1"/>
  <c r="J147" i="1" l="1"/>
  <c r="J141" i="1" l="1"/>
  <c r="K144" i="1"/>
  <c r="J144" i="1"/>
  <c r="L28" i="1" l="1"/>
  <c r="L29" i="1"/>
  <c r="L30" i="1"/>
  <c r="L31" i="1"/>
  <c r="L32" i="1"/>
  <c r="L33" i="1"/>
  <c r="L34" i="1"/>
  <c r="L35" i="1"/>
  <c r="L36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6" i="1"/>
  <c r="L67" i="1"/>
  <c r="L70" i="1"/>
  <c r="L71" i="1"/>
  <c r="L72" i="1"/>
  <c r="L73" i="1"/>
  <c r="L74" i="1"/>
  <c r="L75" i="1"/>
  <c r="L77" i="1"/>
  <c r="L79" i="1"/>
  <c r="L80" i="1"/>
  <c r="L81" i="1"/>
  <c r="L83" i="1"/>
  <c r="L84" i="1"/>
  <c r="L85" i="1"/>
  <c r="L87" i="1"/>
  <c r="L88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6" i="1"/>
  <c r="L117" i="1"/>
  <c r="L119" i="1"/>
  <c r="L121" i="1"/>
  <c r="L122" i="1"/>
  <c r="L123" i="1"/>
  <c r="L124" i="1"/>
  <c r="L126" i="1"/>
  <c r="L127" i="1"/>
  <c r="L128" i="1"/>
  <c r="L129" i="1"/>
  <c r="L130" i="1"/>
  <c r="L131" i="1"/>
  <c r="L132" i="1"/>
  <c r="L134" i="1"/>
  <c r="L135" i="1"/>
  <c r="L136" i="1"/>
  <c r="L137" i="1"/>
  <c r="L138" i="1"/>
  <c r="L140" i="1"/>
  <c r="L142" i="1"/>
  <c r="L144" i="1"/>
  <c r="L145" i="1"/>
  <c r="L146" i="1"/>
  <c r="L147" i="1"/>
  <c r="L148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7" i="1"/>
  <c r="L179" i="1"/>
  <c r="L180" i="1"/>
  <c r="L181" i="1"/>
  <c r="L182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3" i="1"/>
  <c r="L204" i="1"/>
  <c r="L205" i="1"/>
  <c r="L207" i="1"/>
  <c r="L208" i="1"/>
  <c r="L209" i="1"/>
  <c r="L210" i="1"/>
  <c r="L211" i="1"/>
  <c r="L212" i="1"/>
  <c r="L213" i="1"/>
  <c r="L214" i="1"/>
  <c r="L215" i="1"/>
  <c r="L221" i="1"/>
  <c r="L222" i="1"/>
  <c r="L223" i="1"/>
  <c r="L224" i="1"/>
  <c r="L225" i="1"/>
  <c r="L226" i="1"/>
  <c r="L227" i="1"/>
  <c r="L228" i="1"/>
  <c r="L229" i="1"/>
  <c r="L230" i="1"/>
  <c r="L232" i="1"/>
  <c r="L233" i="1"/>
  <c r="L235" i="1"/>
  <c r="L23" i="1"/>
  <c r="L25" i="1"/>
  <c r="L26" i="1"/>
  <c r="L19" i="1"/>
  <c r="L20" i="1"/>
  <c r="L13" i="1"/>
  <c r="L14" i="1"/>
  <c r="L15" i="1"/>
  <c r="L16" i="1"/>
  <c r="L4" i="1"/>
  <c r="L5" i="1"/>
  <c r="L6" i="1"/>
  <c r="L7" i="1"/>
  <c r="L9" i="1"/>
  <c r="L10" i="1"/>
  <c r="L11" i="1"/>
  <c r="L12" i="1"/>
  <c r="J142" i="1" l="1"/>
  <c r="J119" i="1"/>
  <c r="J75" i="1"/>
  <c r="J74" i="1"/>
  <c r="J73" i="1"/>
  <c r="J3" i="1"/>
  <c r="J118" i="1"/>
  <c r="J234" i="1" s="1"/>
  <c r="J123" i="1"/>
  <c r="J49" i="1"/>
  <c r="J52" i="1"/>
  <c r="J60" i="1"/>
  <c r="K62" i="1"/>
  <c r="J6" i="1"/>
  <c r="J7" i="1"/>
  <c r="J9" i="1"/>
  <c r="J12" i="1"/>
  <c r="J235" i="1"/>
  <c r="J77" i="1"/>
  <c r="J83" i="1"/>
  <c r="J85" i="1"/>
  <c r="J89" i="1"/>
  <c r="J91" i="1"/>
  <c r="J94" i="1"/>
  <c r="J96" i="1"/>
  <c r="J98" i="1"/>
  <c r="J101" i="1"/>
  <c r="J105" i="1"/>
  <c r="J107" i="1"/>
  <c r="J109" i="1"/>
  <c r="J113" i="1"/>
  <c r="J115" i="1"/>
  <c r="J182" i="1"/>
  <c r="J181" i="1"/>
  <c r="J121" i="1"/>
  <c r="J126" i="1"/>
  <c r="J130" i="1"/>
  <c r="J134" i="1"/>
  <c r="J137" i="1"/>
  <c r="J139" i="1"/>
  <c r="J143" i="1"/>
  <c r="J146" i="1"/>
  <c r="J149" i="1"/>
  <c r="J153" i="1"/>
  <c r="J155" i="1"/>
  <c r="J157" i="1"/>
  <c r="J161" i="1"/>
  <c r="J166" i="1"/>
  <c r="J174" i="1"/>
  <c r="J233" i="1"/>
  <c r="J232" i="1"/>
  <c r="J228" i="1"/>
  <c r="J226" i="1"/>
  <c r="J221" i="1"/>
  <c r="J219" i="1"/>
  <c r="J217" i="1"/>
  <c r="J210" i="1"/>
  <c r="J207" i="1"/>
  <c r="J204" i="1"/>
  <c r="J200" i="1"/>
  <c r="I200" i="1"/>
  <c r="J198" i="1"/>
  <c r="J193" i="1"/>
  <c r="J191" i="1"/>
  <c r="J189" i="1"/>
  <c r="J185" i="1"/>
  <c r="J183" i="1"/>
  <c r="J169" i="1"/>
  <c r="J180" i="1"/>
  <c r="J176" i="1"/>
  <c r="J195" i="1"/>
  <c r="J214" i="1"/>
  <c r="I215" i="1"/>
  <c r="I197" i="1"/>
  <c r="I196" i="1"/>
  <c r="I165" i="1"/>
  <c r="I159" i="1"/>
  <c r="I156" i="1"/>
  <c r="I154" i="1"/>
  <c r="I152" i="1"/>
  <c r="I151" i="1"/>
  <c r="I135" i="1"/>
  <c r="I106" i="1"/>
  <c r="K103" i="1"/>
  <c r="I11" i="1"/>
  <c r="I228" i="1"/>
  <c r="I226" i="1"/>
  <c r="I223" i="1"/>
  <c r="I221" i="1"/>
  <c r="I219" i="1"/>
  <c r="I217" i="1"/>
  <c r="I214" i="1"/>
  <c r="I210" i="1"/>
  <c r="I207" i="1"/>
  <c r="I204" i="1"/>
  <c r="I198" i="1"/>
  <c r="I181" i="1"/>
  <c r="I193" i="1"/>
  <c r="I191" i="1"/>
  <c r="I189" i="1"/>
  <c r="I188" i="1"/>
  <c r="I185" i="1"/>
  <c r="I183" i="1"/>
  <c r="I180" i="1"/>
  <c r="I176" i="1"/>
  <c r="I174" i="1"/>
  <c r="I169" i="1"/>
  <c r="I166" i="1"/>
  <c r="I161" i="1"/>
  <c r="I157" i="1"/>
  <c r="I155" i="1"/>
  <c r="I153" i="1"/>
  <c r="I141" i="1"/>
  <c r="I146" i="1"/>
  <c r="I143" i="1"/>
  <c r="I137" i="1"/>
  <c r="I134" i="1"/>
  <c r="I132" i="1"/>
  <c r="I130" i="1"/>
  <c r="I129" i="1"/>
  <c r="I128" i="1"/>
  <c r="I117" i="1"/>
  <c r="I116" i="1"/>
  <c r="I113" i="1"/>
  <c r="I109" i="1"/>
  <c r="I107" i="1"/>
  <c r="I105" i="1"/>
  <c r="I104" i="1"/>
  <c r="I97" i="1" s="1"/>
  <c r="I96" i="1"/>
  <c r="I98" i="1"/>
  <c r="I95" i="1"/>
  <c r="I89" i="1"/>
  <c r="I85" i="1"/>
  <c r="I84" i="1"/>
  <c r="I83" i="1" s="1"/>
  <c r="I77" i="1"/>
  <c r="I72" i="1"/>
  <c r="I67" i="1"/>
  <c r="I66" i="1"/>
  <c r="I65" i="1"/>
  <c r="I64" i="1"/>
  <c r="I63" i="1"/>
  <c r="I60" i="1"/>
  <c r="I58" i="1"/>
  <c r="I55" i="1"/>
  <c r="I53" i="1"/>
  <c r="I52" i="1"/>
  <c r="I51" i="1"/>
  <c r="I50" i="1"/>
  <c r="I48" i="1"/>
  <c r="I46" i="1"/>
  <c r="I45" i="1"/>
  <c r="I44" i="1" s="1"/>
  <c r="I42" i="1"/>
  <c r="I39" i="1"/>
  <c r="I37" i="1"/>
  <c r="I36" i="1"/>
  <c r="I35" i="1"/>
  <c r="I34" i="1"/>
  <c r="I33" i="1"/>
  <c r="I31" i="1" s="1"/>
  <c r="I29" i="1"/>
  <c r="I26" i="1"/>
  <c r="I25" i="1"/>
  <c r="I24" i="1"/>
  <c r="I19" i="1"/>
  <c r="I17" i="1"/>
  <c r="I12" i="1"/>
  <c r="I9" i="1"/>
  <c r="I8" i="1"/>
  <c r="I236" i="1" s="1"/>
  <c r="I6" i="1"/>
  <c r="I5" i="1"/>
  <c r="I4" i="1"/>
  <c r="G166" i="1"/>
  <c r="K15" i="1"/>
  <c r="K14" i="1"/>
  <c r="J71" i="1" l="1"/>
  <c r="J231" i="1"/>
  <c r="J179" i="1"/>
  <c r="I7" i="1"/>
  <c r="I3" i="1" s="1"/>
  <c r="I149" i="1"/>
  <c r="I126" i="1"/>
  <c r="I195" i="1"/>
  <c r="I101" i="1"/>
  <c r="I73" i="1"/>
  <c r="I182" i="1"/>
  <c r="I179" i="1" s="1"/>
  <c r="I49" i="1"/>
  <c r="I124" i="1"/>
  <c r="I232" i="1"/>
  <c r="I142" i="1"/>
  <c r="I123" i="1"/>
  <c r="I32" i="1"/>
  <c r="I91" i="1"/>
  <c r="I74" i="1"/>
  <c r="I94" i="1"/>
  <c r="I75" i="1"/>
  <c r="I43" i="1"/>
  <c r="I23" i="1"/>
  <c r="K145" i="1"/>
  <c r="K129" i="1"/>
  <c r="K81" i="1"/>
  <c r="K79" i="1"/>
  <c r="K178" i="1"/>
  <c r="K152" i="1"/>
  <c r="K148" i="1"/>
  <c r="K11" i="1"/>
  <c r="K154" i="1"/>
  <c r="K156" i="1"/>
  <c r="K196" i="1"/>
  <c r="K92" i="1"/>
  <c r="K93" i="1"/>
  <c r="K197" i="1"/>
  <c r="K165" i="1"/>
  <c r="K106" i="1"/>
  <c r="K215" i="1"/>
  <c r="K88" i="1"/>
  <c r="K159" i="1"/>
  <c r="K135" i="1"/>
  <c r="K131" i="1"/>
  <c r="G66" i="1"/>
  <c r="G67" i="1"/>
  <c r="I119" i="1" l="1"/>
  <c r="I235" i="1" s="1"/>
  <c r="I118" i="1"/>
  <c r="I139" i="1"/>
  <c r="I233" i="1"/>
  <c r="I41" i="1"/>
  <c r="I121" i="1"/>
  <c r="I71" i="1"/>
  <c r="I115" i="1" l="1"/>
  <c r="I234" i="1"/>
  <c r="K104" i="1"/>
  <c r="K34" i="1"/>
  <c r="K36" i="1"/>
  <c r="K84" i="1"/>
  <c r="K48" i="1"/>
  <c r="I231" i="1" l="1"/>
  <c r="K128" i="1"/>
  <c r="K45" i="1" l="1"/>
  <c r="K132" i="1" l="1"/>
  <c r="K117" i="1" l="1"/>
  <c r="K161" i="1"/>
  <c r="G200" i="1"/>
  <c r="E75" i="1"/>
  <c r="F75" i="1"/>
  <c r="G75" i="1"/>
  <c r="G180" i="1"/>
  <c r="D182" i="1"/>
  <c r="D181" i="1"/>
  <c r="H196" i="1"/>
  <c r="D195" i="1"/>
  <c r="H171" i="1"/>
  <c r="H172" i="1"/>
  <c r="H173" i="1"/>
  <c r="H175" i="1"/>
  <c r="H167" i="1"/>
  <c r="K143" i="1"/>
  <c r="L143" i="1" s="1"/>
  <c r="D89" i="1"/>
  <c r="E89" i="1"/>
  <c r="F89" i="1"/>
  <c r="G89" i="1"/>
  <c r="C89" i="1"/>
  <c r="G77" i="1"/>
  <c r="G64" i="1"/>
  <c r="G63" i="1" s="1"/>
  <c r="G6" i="1"/>
  <c r="G7" i="1"/>
  <c r="G8" i="1"/>
  <c r="D18" i="1"/>
  <c r="D16" i="1"/>
  <c r="D8" i="1" s="1"/>
  <c r="H21" i="1" l="1"/>
  <c r="H22" i="1"/>
  <c r="G19" i="1"/>
  <c r="D6" i="1"/>
  <c r="D7" i="1"/>
  <c r="D19" i="1"/>
  <c r="K166" i="1"/>
  <c r="K64" i="1"/>
  <c r="K72" i="1"/>
  <c r="K174" i="1" l="1"/>
  <c r="K7" i="1"/>
  <c r="K6" i="1"/>
  <c r="K181" i="1"/>
  <c r="K195" i="1"/>
  <c r="K214" i="1" l="1"/>
  <c r="K204" i="1" l="1"/>
  <c r="K183" i="1"/>
  <c r="K116" i="1" l="1"/>
  <c r="K66" i="1" l="1"/>
  <c r="K65" i="1"/>
  <c r="K51" i="1"/>
  <c r="K67" i="1"/>
  <c r="K63" i="1" l="1"/>
  <c r="K9" i="1"/>
  <c r="D180" i="1"/>
  <c r="H183" i="1"/>
  <c r="H184" i="1"/>
  <c r="C5" i="1" l="1"/>
  <c r="C7" i="1"/>
  <c r="C6" i="1"/>
  <c r="C142" i="1"/>
  <c r="C182" i="1"/>
  <c r="C181" i="1"/>
  <c r="C180" i="1"/>
  <c r="C141" i="1"/>
  <c r="C124" i="1"/>
  <c r="C123" i="1"/>
  <c r="C116" i="1"/>
  <c r="C72" i="1"/>
  <c r="D72" i="1"/>
  <c r="C52" i="1"/>
  <c r="C51" i="1"/>
  <c r="C12" i="1"/>
  <c r="C122" i="1"/>
  <c r="C125" i="1"/>
  <c r="C120" i="1" s="1"/>
  <c r="C130" i="1"/>
  <c r="C117" i="1" l="1"/>
  <c r="C118" i="1"/>
  <c r="C97" i="1" l="1"/>
  <c r="C96" i="1"/>
  <c r="C95" i="1"/>
  <c r="C85" i="1"/>
  <c r="C73" i="1" l="1"/>
  <c r="C74" i="1"/>
  <c r="C75" i="1"/>
  <c r="C55" i="1"/>
  <c r="D52" i="1"/>
  <c r="D53" i="1"/>
  <c r="C53" i="1"/>
  <c r="C58" i="1"/>
  <c r="G181" i="1"/>
  <c r="G182" i="1"/>
  <c r="G117" i="1"/>
  <c r="G161" i="1"/>
  <c r="G76" i="1"/>
  <c r="G236" i="1" s="1"/>
  <c r="G73" i="1"/>
  <c r="G74" i="1"/>
  <c r="G72" i="1"/>
  <c r="G52" i="1"/>
  <c r="G51" i="1"/>
  <c r="G43" i="1"/>
  <c r="G42" i="1"/>
  <c r="G25" i="1"/>
  <c r="G4" i="1"/>
  <c r="G5" i="1"/>
  <c r="H227" i="1"/>
  <c r="G226" i="1"/>
  <c r="H226" i="1" s="1"/>
  <c r="G221" i="1"/>
  <c r="H215" i="1"/>
  <c r="H218" i="1"/>
  <c r="H220" i="1"/>
  <c r="G214" i="1"/>
  <c r="H205" i="1"/>
  <c r="G204" i="1"/>
  <c r="H190" i="1"/>
  <c r="H192" i="1"/>
  <c r="H194" i="1"/>
  <c r="H197" i="1"/>
  <c r="G195" i="1"/>
  <c r="G193" i="1"/>
  <c r="G191" i="1"/>
  <c r="G189" i="1"/>
  <c r="G174" i="1"/>
  <c r="G169" i="1"/>
  <c r="H163" i="1"/>
  <c r="G98" i="1"/>
  <c r="H82" i="1"/>
  <c r="H84" i="1"/>
  <c r="D122" i="1"/>
  <c r="D43" i="1"/>
  <c r="D214" i="1"/>
  <c r="D217" i="1"/>
  <c r="H217" i="1" s="1"/>
  <c r="D219" i="1"/>
  <c r="H219" i="1" s="1"/>
  <c r="D226" i="1"/>
  <c r="D204" i="1"/>
  <c r="D193" i="1"/>
  <c r="D191" i="1"/>
  <c r="D189" i="1"/>
  <c r="D174" i="1"/>
  <c r="D166" i="1"/>
  <c r="D116" i="1"/>
  <c r="D161" i="1"/>
  <c r="D67" i="1"/>
  <c r="D64" i="1"/>
  <c r="D76" i="1"/>
  <c r="D236" i="1" s="1"/>
  <c r="D77" i="1"/>
  <c r="D83" i="1"/>
  <c r="K180" i="1"/>
  <c r="H67" i="1" l="1"/>
  <c r="H174" i="1"/>
  <c r="H64" i="1"/>
  <c r="G3" i="1"/>
  <c r="D63" i="1"/>
  <c r="H189" i="1"/>
  <c r="H214" i="1"/>
  <c r="H193" i="1"/>
  <c r="H195" i="1"/>
  <c r="H204" i="1"/>
  <c r="H191" i="1"/>
  <c r="H76" i="1"/>
  <c r="G71" i="1"/>
  <c r="K226" i="1"/>
  <c r="K219" i="1"/>
  <c r="K217" i="1"/>
  <c r="K188" i="1"/>
  <c r="K182" i="1" s="1"/>
  <c r="K193" i="1"/>
  <c r="K191" i="1"/>
  <c r="K189" i="1"/>
  <c r="H63" i="1" l="1"/>
  <c r="K52" i="1" l="1"/>
  <c r="K55" i="1"/>
  <c r="K142" i="1" l="1"/>
  <c r="K157" i="1"/>
  <c r="K12" i="1" l="1"/>
  <c r="K89" i="1" l="1"/>
  <c r="G210" i="1"/>
  <c r="G12" i="1"/>
  <c r="G207" i="1" l="1"/>
  <c r="H164" i="1"/>
  <c r="H10" i="1"/>
  <c r="H11" i="1"/>
  <c r="H13" i="1"/>
  <c r="H14" i="1"/>
  <c r="H15" i="1"/>
  <c r="H16" i="1"/>
  <c r="H18" i="1"/>
  <c r="H20" i="1"/>
  <c r="H28" i="1"/>
  <c r="H30" i="1"/>
  <c r="H34" i="1"/>
  <c r="H36" i="1"/>
  <c r="H40" i="1"/>
  <c r="H45" i="1"/>
  <c r="H47" i="1"/>
  <c r="H48" i="1"/>
  <c r="H54" i="1"/>
  <c r="H56" i="1"/>
  <c r="H57" i="1"/>
  <c r="H59" i="1"/>
  <c r="H61" i="1"/>
  <c r="H62" i="1"/>
  <c r="H78" i="1"/>
  <c r="H79" i="1"/>
  <c r="H80" i="1"/>
  <c r="H81" i="1"/>
  <c r="H87" i="1"/>
  <c r="H88" i="1"/>
  <c r="H90" i="1"/>
  <c r="H89" i="1" s="1"/>
  <c r="H92" i="1"/>
  <c r="H93" i="1"/>
  <c r="H99" i="1"/>
  <c r="H100" i="1"/>
  <c r="H102" i="1"/>
  <c r="H103" i="1"/>
  <c r="H104" i="1"/>
  <c r="H106" i="1"/>
  <c r="H108" i="1"/>
  <c r="H110" i="1"/>
  <c r="H111" i="1"/>
  <c r="H112" i="1"/>
  <c r="H114" i="1"/>
  <c r="H127" i="1"/>
  <c r="H128" i="1"/>
  <c r="H129" i="1"/>
  <c r="H131" i="1"/>
  <c r="H132" i="1"/>
  <c r="H135" i="1"/>
  <c r="H136" i="1"/>
  <c r="H138" i="1"/>
  <c r="H144" i="1"/>
  <c r="H145" i="1"/>
  <c r="H147" i="1"/>
  <c r="H148" i="1"/>
  <c r="H150" i="1"/>
  <c r="H151" i="1"/>
  <c r="H152" i="1"/>
  <c r="H154" i="1"/>
  <c r="H156" i="1"/>
  <c r="H158" i="1"/>
  <c r="H159" i="1"/>
  <c r="H160" i="1"/>
  <c r="H162" i="1"/>
  <c r="H165" i="1"/>
  <c r="H168" i="1"/>
  <c r="H177" i="1"/>
  <c r="H199" i="1"/>
  <c r="H201" i="1"/>
  <c r="H203" i="1"/>
  <c r="H208" i="1"/>
  <c r="H209" i="1"/>
  <c r="H211" i="1"/>
  <c r="H212" i="1"/>
  <c r="H213" i="1"/>
  <c r="H222" i="1"/>
  <c r="H229" i="1"/>
  <c r="H230" i="1"/>
  <c r="G55" i="1"/>
  <c r="G53" i="1"/>
  <c r="H53" i="1" s="1"/>
  <c r="G9" i="1"/>
  <c r="D25" i="1"/>
  <c r="H25" i="1" s="1"/>
  <c r="D210" i="1" l="1"/>
  <c r="D155" i="1"/>
  <c r="D142" i="1"/>
  <c r="D141" i="1"/>
  <c r="D140" i="1"/>
  <c r="D117" i="1" s="1"/>
  <c r="D124" i="1"/>
  <c r="D123" i="1"/>
  <c r="D118" i="1" s="1"/>
  <c r="D137" i="1"/>
  <c r="D95" i="1"/>
  <c r="H95" i="1" s="1"/>
  <c r="D96" i="1"/>
  <c r="D97" i="1"/>
  <c r="D75" i="1" s="1"/>
  <c r="D51" i="1"/>
  <c r="D42" i="1"/>
  <c r="D58" i="1"/>
  <c r="D55" i="1"/>
  <c r="D23" i="1"/>
  <c r="D4" i="1"/>
  <c r="D5" i="1"/>
  <c r="H5" i="1" s="1"/>
  <c r="H8" i="1"/>
  <c r="K210" i="1"/>
  <c r="K141" i="1"/>
  <c r="K124" i="1"/>
  <c r="K119" i="1" s="1"/>
  <c r="K123" i="1"/>
  <c r="K95" i="1"/>
  <c r="K96" i="1"/>
  <c r="K97" i="1"/>
  <c r="K75" i="1" s="1"/>
  <c r="K85" i="1"/>
  <c r="L141" i="1" l="1"/>
  <c r="M141" i="1"/>
  <c r="K118" i="1"/>
  <c r="H4" i="1"/>
  <c r="D3" i="1"/>
  <c r="D232" i="1"/>
  <c r="H97" i="1"/>
  <c r="H75" i="1"/>
  <c r="D73" i="1"/>
  <c r="K74" i="1"/>
  <c r="H55" i="1"/>
  <c r="H122" i="1"/>
  <c r="K179" i="1"/>
  <c r="H140" i="1"/>
  <c r="D74" i="1"/>
  <c r="H96" i="1"/>
  <c r="K73" i="1"/>
  <c r="K77" i="1"/>
  <c r="L118" i="1" l="1"/>
  <c r="M118" i="1"/>
  <c r="D71" i="1"/>
  <c r="D234" i="1"/>
  <c r="H236" i="1"/>
  <c r="K53" i="1"/>
  <c r="K43" i="1"/>
  <c r="K25" i="1"/>
  <c r="K4" i="1"/>
  <c r="K8" i="1" l="1"/>
  <c r="K228" i="1"/>
  <c r="K223" i="1"/>
  <c r="K221" i="1"/>
  <c r="K207" i="1"/>
  <c r="K200" i="1"/>
  <c r="K198" i="1"/>
  <c r="K185" i="1"/>
  <c r="K176" i="1"/>
  <c r="K169" i="1"/>
  <c r="K155" i="1"/>
  <c r="K153" i="1"/>
  <c r="K149" i="1"/>
  <c r="K137" i="1"/>
  <c r="K126" i="1"/>
  <c r="K113" i="1"/>
  <c r="K107" i="1"/>
  <c r="K105" i="1"/>
  <c r="K101" i="1"/>
  <c r="K94" i="1"/>
  <c r="K91" i="1"/>
  <c r="K83" i="1"/>
  <c r="K60" i="1"/>
  <c r="K58" i="1"/>
  <c r="K50" i="1"/>
  <c r="K46" i="1"/>
  <c r="K44" i="1"/>
  <c r="K42" i="1"/>
  <c r="K39" i="1"/>
  <c r="K37" i="1"/>
  <c r="K35" i="1"/>
  <c r="K33" i="1"/>
  <c r="K29" i="1"/>
  <c r="K26" i="1"/>
  <c r="K24" i="1"/>
  <c r="K232" i="1" s="1"/>
  <c r="K19" i="1"/>
  <c r="K17" i="1"/>
  <c r="L149" i="1" l="1"/>
  <c r="M149" i="1"/>
  <c r="K236" i="1"/>
  <c r="K23" i="1"/>
  <c r="K32" i="1"/>
  <c r="K235" i="1" s="1"/>
  <c r="K5" i="1"/>
  <c r="K233" i="1" s="1"/>
  <c r="K41" i="1"/>
  <c r="K49" i="1"/>
  <c r="K109" i="1"/>
  <c r="K139" i="1"/>
  <c r="K31" i="1"/>
  <c r="K98" i="1"/>
  <c r="K234" i="1"/>
  <c r="K121" i="1"/>
  <c r="L139" i="1" l="1"/>
  <c r="M139" i="1"/>
  <c r="L234" i="1"/>
  <c r="M234" i="1"/>
  <c r="K3" i="1"/>
  <c r="K115" i="1"/>
  <c r="K71" i="1"/>
  <c r="L115" i="1" l="1"/>
  <c r="M115" i="1"/>
  <c r="L3" i="1"/>
  <c r="K231" i="1"/>
  <c r="K146" i="1"/>
  <c r="K134" i="1"/>
  <c r="L231" i="1" l="1"/>
  <c r="M231" i="1"/>
  <c r="K130" i="1"/>
  <c r="H117" i="1" l="1"/>
  <c r="H52" i="1" l="1"/>
  <c r="H6" i="1" l="1"/>
  <c r="D130" i="1" l="1"/>
  <c r="E130" i="1"/>
  <c r="G130" i="1"/>
  <c r="D126" i="1"/>
  <c r="E126" i="1"/>
  <c r="G126" i="1"/>
  <c r="D121" i="1"/>
  <c r="E121" i="1"/>
  <c r="E74" i="1"/>
  <c r="H74" i="1"/>
  <c r="H51" i="1"/>
  <c r="G50" i="1"/>
  <c r="G233" i="1" s="1"/>
  <c r="D50" i="1"/>
  <c r="D233" i="1" s="1"/>
  <c r="C50" i="1"/>
  <c r="G46" i="1"/>
  <c r="G44" i="1"/>
  <c r="D46" i="1"/>
  <c r="D44" i="1"/>
  <c r="H43" i="1"/>
  <c r="H42" i="1"/>
  <c r="G39" i="1"/>
  <c r="G37" i="1"/>
  <c r="G35" i="1"/>
  <c r="G33" i="1"/>
  <c r="D39" i="1"/>
  <c r="D37" i="1"/>
  <c r="D35" i="1"/>
  <c r="D33" i="1"/>
  <c r="D32" i="1" s="1"/>
  <c r="C39" i="1"/>
  <c r="C37" i="1"/>
  <c r="C35" i="1"/>
  <c r="C33" i="1"/>
  <c r="G29" i="1"/>
  <c r="D29" i="1"/>
  <c r="C29" i="1"/>
  <c r="G26" i="1"/>
  <c r="D26" i="1"/>
  <c r="C19" i="1"/>
  <c r="G17" i="1"/>
  <c r="D17" i="1"/>
  <c r="C17" i="1"/>
  <c r="D12" i="1"/>
  <c r="D9" i="1"/>
  <c r="C9" i="1"/>
  <c r="G58" i="1"/>
  <c r="H58" i="1" s="1"/>
  <c r="G60" i="1"/>
  <c r="D60" i="1"/>
  <c r="C60" i="1"/>
  <c r="H72" i="1"/>
  <c r="C77" i="1"/>
  <c r="C83" i="1"/>
  <c r="G85" i="1"/>
  <c r="D85" i="1"/>
  <c r="G91" i="1"/>
  <c r="D91" i="1"/>
  <c r="C91" i="1"/>
  <c r="G94" i="1"/>
  <c r="D94" i="1"/>
  <c r="C94" i="1"/>
  <c r="D98" i="1"/>
  <c r="C98" i="1"/>
  <c r="G101" i="1"/>
  <c r="D101" i="1"/>
  <c r="C101" i="1"/>
  <c r="G105" i="1"/>
  <c r="D105" i="1"/>
  <c r="C105" i="1"/>
  <c r="G107" i="1"/>
  <c r="D107" i="1"/>
  <c r="C107" i="1"/>
  <c r="G109" i="1"/>
  <c r="D109" i="1"/>
  <c r="C109" i="1"/>
  <c r="G113" i="1"/>
  <c r="D113" i="1"/>
  <c r="C113" i="1"/>
  <c r="G116" i="1"/>
  <c r="C126" i="1"/>
  <c r="G134" i="1"/>
  <c r="D134" i="1"/>
  <c r="C134" i="1"/>
  <c r="H137" i="1"/>
  <c r="C137" i="1"/>
  <c r="D139" i="1"/>
  <c r="G143" i="1"/>
  <c r="D143" i="1"/>
  <c r="C143" i="1"/>
  <c r="G146" i="1"/>
  <c r="D146" i="1"/>
  <c r="C146" i="1"/>
  <c r="G149" i="1"/>
  <c r="D149" i="1"/>
  <c r="C149" i="1"/>
  <c r="G153" i="1"/>
  <c r="D153" i="1"/>
  <c r="C153" i="1"/>
  <c r="G155" i="1"/>
  <c r="H155" i="1" s="1"/>
  <c r="C155" i="1"/>
  <c r="G157" i="1"/>
  <c r="D157" i="1"/>
  <c r="C157" i="1"/>
  <c r="C161" i="1"/>
  <c r="C166" i="1"/>
  <c r="D170" i="1"/>
  <c r="D119" i="1" s="1"/>
  <c r="D235" i="1" s="1"/>
  <c r="G176" i="1"/>
  <c r="D176" i="1"/>
  <c r="C176" i="1"/>
  <c r="D179" i="1"/>
  <c r="G185" i="1"/>
  <c r="C185" i="1"/>
  <c r="G198" i="1"/>
  <c r="D198" i="1"/>
  <c r="C198" i="1"/>
  <c r="D200" i="1"/>
  <c r="C200" i="1"/>
  <c r="D207" i="1"/>
  <c r="C207" i="1"/>
  <c r="C210" i="1"/>
  <c r="D221" i="1"/>
  <c r="C221" i="1"/>
  <c r="G223" i="1"/>
  <c r="D223" i="1"/>
  <c r="C223" i="1"/>
  <c r="G24" i="1"/>
  <c r="C24" i="1"/>
  <c r="G228" i="1"/>
  <c r="D228" i="1"/>
  <c r="C228" i="1"/>
  <c r="C46" i="1"/>
  <c r="C44" i="1"/>
  <c r="C43" i="1"/>
  <c r="C42" i="1"/>
  <c r="H7" i="1"/>
  <c r="C119" i="1" l="1"/>
  <c r="C32" i="1"/>
  <c r="G32" i="1"/>
  <c r="H116" i="1"/>
  <c r="G232" i="1"/>
  <c r="H126" i="1"/>
  <c r="H35" i="1"/>
  <c r="H130" i="1"/>
  <c r="H198" i="1"/>
  <c r="H166" i="1"/>
  <c r="H109" i="1"/>
  <c r="H98" i="1"/>
  <c r="H85" i="1"/>
  <c r="H50" i="1"/>
  <c r="H39" i="1"/>
  <c r="H149" i="1"/>
  <c r="H9" i="1"/>
  <c r="H94" i="1"/>
  <c r="H77" i="1"/>
  <c r="H146" i="1"/>
  <c r="H207" i="1"/>
  <c r="H157" i="1"/>
  <c r="H91" i="1"/>
  <c r="H17" i="1"/>
  <c r="H176" i="1"/>
  <c r="H134" i="1"/>
  <c r="H221" i="1"/>
  <c r="H161" i="1"/>
  <c r="H107" i="1"/>
  <c r="H105" i="1"/>
  <c r="H228" i="1"/>
  <c r="D169" i="1"/>
  <c r="H170" i="1"/>
  <c r="H143" i="1"/>
  <c r="H46" i="1"/>
  <c r="H200" i="1"/>
  <c r="H113" i="1"/>
  <c r="H101" i="1"/>
  <c r="H19" i="1"/>
  <c r="G23" i="1"/>
  <c r="H23" i="1" s="1"/>
  <c r="H60" i="1"/>
  <c r="H153" i="1"/>
  <c r="H26" i="1"/>
  <c r="H33" i="1"/>
  <c r="H44" i="1"/>
  <c r="H12" i="1"/>
  <c r="H29" i="1"/>
  <c r="H73" i="1"/>
  <c r="G49" i="1"/>
  <c r="C41" i="1"/>
  <c r="G83" i="1"/>
  <c r="H83" i="1" s="1"/>
  <c r="D41" i="1"/>
  <c r="G41" i="1"/>
  <c r="D49" i="1"/>
  <c r="G31" i="1"/>
  <c r="D31" i="1"/>
  <c r="C31" i="1"/>
  <c r="H181" i="1"/>
  <c r="G123" i="1"/>
  <c r="G124" i="1"/>
  <c r="C8" i="1"/>
  <c r="C115" i="1" l="1"/>
  <c r="C236" i="1"/>
  <c r="H123" i="1"/>
  <c r="H124" i="1"/>
  <c r="H169" i="1"/>
  <c r="H49" i="1"/>
  <c r="D115" i="1"/>
  <c r="H71" i="1"/>
  <c r="H31" i="1"/>
  <c r="H32" i="1"/>
  <c r="H41" i="1"/>
  <c r="H182" i="1"/>
  <c r="H210" i="1"/>
  <c r="G121" i="1"/>
  <c r="H121" i="1" s="1"/>
  <c r="H180" i="1"/>
  <c r="D231" i="1" l="1"/>
  <c r="G179" i="1"/>
  <c r="H179" i="1" s="1"/>
  <c r="H3" i="1"/>
  <c r="H232" i="1"/>
  <c r="C121" i="1" l="1"/>
  <c r="C25" i="1"/>
  <c r="C4" i="1"/>
  <c r="C26" i="1"/>
  <c r="C3" i="1" l="1"/>
  <c r="C235" i="1"/>
  <c r="C232" i="1"/>
  <c r="C139" i="1"/>
  <c r="C179" i="1"/>
  <c r="C234" i="1"/>
  <c r="C49" i="1"/>
  <c r="C71" i="1"/>
  <c r="C23" i="1"/>
  <c r="C233" i="1"/>
  <c r="C169" i="1"/>
  <c r="C231" i="1" l="1"/>
  <c r="G142" i="1"/>
  <c r="G141" i="1"/>
  <c r="H141" i="1" l="1"/>
  <c r="G118" i="1"/>
  <c r="G234" i="1" s="1"/>
  <c r="H142" i="1"/>
  <c r="G119" i="1"/>
  <c r="G235" i="1" s="1"/>
  <c r="G231" i="1" s="1"/>
  <c r="G139" i="1"/>
  <c r="H139" i="1" s="1"/>
  <c r="H233" i="1"/>
  <c r="H118" i="1" l="1"/>
  <c r="H119" i="1"/>
  <c r="G115" i="1"/>
  <c r="H115" i="1" s="1"/>
  <c r="H234" i="1"/>
  <c r="H235" i="1"/>
  <c r="H23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tc={23756B82-0575-4063-B460-DE8090416E29}</author>
    <author>tc={13226008-86D5-4F29-AD13-3C305F924550}</author>
    <author>tc={4C003871-D433-451C-9093-2AE52F1C62AC}</author>
  </authors>
  <commentList>
    <comment ref="G104" authorId="0" shapeId="0" xr:uid="{23756B82-0575-4063-B460-DE8090416E29}">
      <text>
        <t>[Threaded comment]
Your version of Excel allows you to read this threaded comment; however, any edits to it will get removed if the file is opened in a newer version of Excel. Learn more: https://go.microsoft.com/fwlink/?linkid=870924
Comment:
    3000 huvihariduse raha</t>
      </text>
    </comment>
    <comment ref="J144" authorId="1" shapeId="0" xr:uid="{13226008-86D5-4F29-AD13-3C305F924550}">
      <text>
        <t>[Threaded comment]
Your version of Excel allows you to read this threaded comment; however, any edits to it will get removed if the file is opened in a newer version of Excel. Learn more: https://go.microsoft.com/fwlink/?linkid=870924
Comment:
    Riigiõpetajate lisatasu</t>
      </text>
    </comment>
    <comment ref="J147" authorId="2" shapeId="0" xr:uid="{4C003871-D433-451C-9093-2AE52F1C62A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Riigiõpetajate liisatasu
</t>
      </text>
    </comment>
  </commentList>
</comments>
</file>

<file path=xl/sharedStrings.xml><?xml version="1.0" encoding="utf-8"?>
<sst xmlns="http://schemas.openxmlformats.org/spreadsheetml/2006/main" count="266" uniqueCount="125">
  <si>
    <r>
      <rPr>
        <sz val="11"/>
        <rFont val="Times New Roman"/>
        <family val="1"/>
      </rPr>
      <t>Tunnus</t>
    </r>
  </si>
  <si>
    <r>
      <rPr>
        <sz val="11"/>
        <rFont val="Times New Roman"/>
        <family val="1"/>
      </rPr>
      <t>Tunnuse nimetus</t>
    </r>
  </si>
  <si>
    <r>
      <rPr>
        <b/>
        <sz val="11"/>
        <rFont val="Times New Roman"/>
        <family val="1"/>
      </rPr>
      <t>ÜLDISED VALITSUSSEKTORI</t>
    </r>
  </si>
  <si>
    <r>
      <rPr>
        <sz val="11"/>
        <rFont val="Times New Roman"/>
        <family val="1"/>
      </rPr>
      <t>Sotsiaaltoetused</t>
    </r>
  </si>
  <si>
    <r>
      <rPr>
        <sz val="11"/>
        <rFont val="Times New Roman"/>
        <family val="1"/>
      </rPr>
      <t>Muud toetused</t>
    </r>
  </si>
  <si>
    <r>
      <rPr>
        <sz val="11"/>
        <rFont val="Times New Roman"/>
        <family val="1"/>
      </rPr>
      <t>Personalikulud</t>
    </r>
  </si>
  <si>
    <r>
      <rPr>
        <sz val="11"/>
        <rFont val="Times New Roman"/>
        <family val="1"/>
      </rPr>
      <t>Majandamiskulud</t>
    </r>
  </si>
  <si>
    <r>
      <rPr>
        <sz val="11"/>
        <rFont val="Times New Roman"/>
        <family val="1"/>
      </rPr>
      <t>Muud tegevuskulud</t>
    </r>
  </si>
  <si>
    <r>
      <rPr>
        <b/>
        <sz val="11"/>
        <rFont val="Times New Roman"/>
        <family val="1"/>
      </rPr>
      <t>Vallavolikogu</t>
    </r>
  </si>
  <si>
    <r>
      <rPr>
        <b/>
        <sz val="11"/>
        <rFont val="Times New Roman"/>
        <family val="1"/>
      </rPr>
      <t>Vallavalitsus</t>
    </r>
  </si>
  <si>
    <r>
      <rPr>
        <sz val="11"/>
        <rFont val="Times New Roman"/>
        <family val="1"/>
      </rPr>
      <t>Sotsiaaltoetused (preemiad, stipendiumid)</t>
    </r>
  </si>
  <si>
    <r>
      <rPr>
        <b/>
        <sz val="11"/>
        <rFont val="Times New Roman"/>
        <family val="1"/>
      </rPr>
      <t>Reservfond</t>
    </r>
  </si>
  <si>
    <r>
      <rPr>
        <b/>
        <sz val="11"/>
        <rFont val="Times New Roman"/>
        <family val="1"/>
      </rPr>
      <t>Muud üldised valitsussektori teenused</t>
    </r>
  </si>
  <si>
    <r>
      <rPr>
        <b/>
        <sz val="11"/>
        <rFont val="Times New Roman"/>
        <family val="1"/>
      </rPr>
      <t>AVALIK KORD JA JULGEOLEK</t>
    </r>
  </si>
  <si>
    <r>
      <rPr>
        <b/>
        <sz val="11"/>
        <rFont val="Times New Roman"/>
        <family val="1"/>
      </rPr>
      <t>Päästeteenused</t>
    </r>
  </si>
  <si>
    <r>
      <rPr>
        <b/>
        <sz val="11"/>
        <rFont val="Times New Roman"/>
        <family val="1"/>
      </rPr>
      <t xml:space="preserve">Muu avalik kord ja julgeolek </t>
    </r>
    <r>
      <rPr>
        <sz val="11"/>
        <rFont val="Times New Roman"/>
        <family val="1"/>
      </rPr>
      <t>(valvekaamerad)</t>
    </r>
  </si>
  <si>
    <r>
      <rPr>
        <b/>
        <sz val="11"/>
        <rFont val="Times New Roman"/>
        <family val="1"/>
      </rPr>
      <t>MAJANDUS</t>
    </r>
  </si>
  <si>
    <r>
      <rPr>
        <b/>
        <sz val="11"/>
        <rFont val="Times New Roman"/>
        <family val="1"/>
      </rPr>
      <t xml:space="preserve">Põllumajandus </t>
    </r>
    <r>
      <rPr>
        <sz val="11"/>
        <rFont val="Times New Roman"/>
        <family val="1"/>
      </rPr>
      <t>(maakorraldus)</t>
    </r>
  </si>
  <si>
    <r>
      <rPr>
        <b/>
        <sz val="11"/>
        <rFont val="Times New Roman"/>
        <family val="1"/>
      </rPr>
      <t xml:space="preserve">Maanteetransport </t>
    </r>
    <r>
      <rPr>
        <sz val="11"/>
        <rFont val="Times New Roman"/>
        <family val="1"/>
      </rPr>
      <t>(vallateed ja tänavad)</t>
    </r>
  </si>
  <si>
    <r>
      <rPr>
        <b/>
        <sz val="11"/>
        <rFont val="Times New Roman"/>
        <family val="1"/>
      </rPr>
      <t>Üldmajanduslikud arendusprojektid</t>
    </r>
  </si>
  <si>
    <r>
      <rPr>
        <b/>
        <sz val="11"/>
        <rFont val="Times New Roman"/>
        <family val="1"/>
      </rPr>
      <t xml:space="preserve">Muu majandus </t>
    </r>
    <r>
      <rPr>
        <sz val="11"/>
        <rFont val="Times New Roman"/>
        <family val="1"/>
      </rPr>
      <t>(väljarenditud mitte-eluruumid)</t>
    </r>
  </si>
  <si>
    <r>
      <rPr>
        <b/>
        <sz val="11"/>
        <rFont val="Times New Roman"/>
        <family val="1"/>
      </rPr>
      <t>KESKKONNAKAITSE</t>
    </r>
  </si>
  <si>
    <r>
      <rPr>
        <b/>
        <sz val="11"/>
        <rFont val="Times New Roman"/>
        <family val="1"/>
      </rPr>
      <t>Jäätmekäitlus</t>
    </r>
  </si>
  <si>
    <r>
      <rPr>
        <b/>
        <sz val="11"/>
        <rFont val="Times New Roman"/>
        <family val="1"/>
      </rPr>
      <t>Avalike alade puhastus</t>
    </r>
  </si>
  <si>
    <r>
      <rPr>
        <b/>
        <sz val="11"/>
        <rFont val="Times New Roman"/>
        <family val="1"/>
      </rPr>
      <t>ELAMU- JA KOMMUNAALMAJANDUS</t>
    </r>
  </si>
  <si>
    <r>
      <rPr>
        <b/>
        <sz val="11"/>
        <rFont val="Times New Roman"/>
        <family val="1"/>
      </rPr>
      <t xml:space="preserve">Elamumajandus </t>
    </r>
    <r>
      <rPr>
        <sz val="11"/>
        <rFont val="Times New Roman"/>
        <family val="1"/>
      </rPr>
      <t>(elamispinnad)</t>
    </r>
  </si>
  <si>
    <r>
      <rPr>
        <b/>
        <sz val="11"/>
        <rFont val="Times New Roman"/>
        <family val="1"/>
      </rPr>
      <t>Veevarustus</t>
    </r>
  </si>
  <si>
    <r>
      <rPr>
        <b/>
        <sz val="11"/>
        <rFont val="Times New Roman"/>
        <family val="1"/>
      </rPr>
      <t>Tänavavalgustus</t>
    </r>
  </si>
  <si>
    <r>
      <rPr>
        <b/>
        <sz val="11"/>
        <rFont val="Times New Roman"/>
        <family val="1"/>
      </rPr>
      <t xml:space="preserve">Muu elamu- ja kommunaalmajanduse tegevus </t>
    </r>
    <r>
      <rPr>
        <sz val="11"/>
        <rFont val="Times New Roman"/>
        <family val="1"/>
      </rPr>
      <t>(kalmistud</t>
    </r>
  </si>
  <si>
    <r>
      <rPr>
        <b/>
        <sz val="11"/>
        <rFont val="Times New Roman"/>
        <family val="1"/>
      </rPr>
      <t>VABA AEG, KULTUUR JA RELIGIOON</t>
    </r>
  </si>
  <si>
    <r>
      <rPr>
        <b/>
        <sz val="11"/>
        <rFont val="Times New Roman"/>
        <family val="1"/>
      </rPr>
      <t xml:space="preserve">Sporditegevus </t>
    </r>
    <r>
      <rPr>
        <sz val="11"/>
        <rFont val="Times New Roman"/>
        <family val="1"/>
      </rPr>
      <t>(sh spordirajatised)</t>
    </r>
  </si>
  <si>
    <r>
      <rPr>
        <sz val="11"/>
        <rFont val="Times New Roman"/>
        <family val="1"/>
      </rPr>
      <t>Sotsiaaltoetused, preemiad, autasud</t>
    </r>
  </si>
  <si>
    <r>
      <rPr>
        <b/>
        <sz val="11"/>
        <rFont val="Times New Roman"/>
        <family val="1"/>
      </rPr>
      <t>Puhkepargid, mänguväljakud</t>
    </r>
  </si>
  <si>
    <r>
      <rPr>
        <b/>
        <sz val="11"/>
        <rFont val="Times New Roman"/>
        <family val="1"/>
      </rPr>
      <t>Noorsootöö ja noortekeskused</t>
    </r>
  </si>
  <si>
    <r>
      <rPr>
        <b/>
        <sz val="11"/>
        <rFont val="Times New Roman"/>
        <family val="1"/>
      </rPr>
      <t>Vaba aja tegevused</t>
    </r>
  </si>
  <si>
    <r>
      <rPr>
        <b/>
        <sz val="11"/>
        <rFont val="Times New Roman"/>
        <family val="1"/>
      </rPr>
      <t>Raamatukogud</t>
    </r>
  </si>
  <si>
    <r>
      <rPr>
        <b/>
        <sz val="11"/>
        <rFont val="Times New Roman"/>
        <family val="1"/>
      </rPr>
      <t>Rahva-ja kultuurimajad</t>
    </r>
  </si>
  <si>
    <r>
      <rPr>
        <i/>
        <sz val="11"/>
        <rFont val="Times New Roman"/>
        <family val="1"/>
      </rPr>
      <t>Muud toetused</t>
    </r>
  </si>
  <si>
    <r>
      <rPr>
        <i/>
        <sz val="11"/>
        <rFont val="Times New Roman"/>
        <family val="1"/>
      </rPr>
      <t>Majandamiskulud</t>
    </r>
  </si>
  <si>
    <r>
      <rPr>
        <b/>
        <i/>
        <sz val="11"/>
        <rFont val="Times New Roman"/>
        <family val="1"/>
      </rPr>
      <t>sh Raasiku Rahvamaja</t>
    </r>
  </si>
  <si>
    <r>
      <rPr>
        <i/>
        <sz val="11"/>
        <rFont val="Times New Roman"/>
        <family val="1"/>
      </rPr>
      <t>Personalikulud</t>
    </r>
  </si>
  <si>
    <r>
      <rPr>
        <b/>
        <sz val="11"/>
        <rFont val="Times New Roman"/>
        <family val="1"/>
      </rPr>
      <t>Ringhäälingu- ja kirjastamisteenused</t>
    </r>
  </si>
  <si>
    <r>
      <rPr>
        <b/>
        <sz val="11"/>
        <rFont val="Times New Roman"/>
        <family val="1"/>
      </rPr>
      <t>Religiooni- ja muud ühiskonnateenused</t>
    </r>
  </si>
  <si>
    <r>
      <rPr>
        <b/>
        <sz val="11"/>
        <rFont val="Times New Roman"/>
        <family val="1"/>
      </rPr>
      <t xml:space="preserve">Muu vaba aeg ja kultuur </t>
    </r>
    <r>
      <rPr>
        <sz val="11"/>
        <rFont val="Times New Roman"/>
        <family val="1"/>
      </rPr>
      <t>(valla</t>
    </r>
  </si>
  <si>
    <r>
      <rPr>
        <b/>
        <sz val="11"/>
        <rFont val="Times New Roman"/>
        <family val="1"/>
      </rPr>
      <t>Muu vaba aeg ja kultuur</t>
    </r>
  </si>
  <si>
    <r>
      <rPr>
        <b/>
        <sz val="11"/>
        <rFont val="Times New Roman"/>
        <family val="1"/>
      </rPr>
      <t>HARIDUS</t>
    </r>
  </si>
  <si>
    <r>
      <rPr>
        <b/>
        <sz val="11"/>
        <rFont val="Times New Roman"/>
        <family val="1"/>
      </rPr>
      <t>Alusharidus:  lasteaiad</t>
    </r>
  </si>
  <si>
    <r>
      <rPr>
        <b/>
        <i/>
        <sz val="11"/>
        <rFont val="Times New Roman"/>
        <family val="1"/>
      </rPr>
      <t>sh Aruküla Lasteaed</t>
    </r>
  </si>
  <si>
    <r>
      <rPr>
        <b/>
        <i/>
        <sz val="11"/>
        <rFont val="Times New Roman"/>
        <family val="1"/>
      </rPr>
      <t>sh Raasiku Lasteaed</t>
    </r>
  </si>
  <si>
    <r>
      <rPr>
        <b/>
        <i/>
        <sz val="11"/>
        <rFont val="Times New Roman"/>
        <family val="1"/>
      </rPr>
      <t xml:space="preserve">sh Pikavere Mõisakool /   </t>
    </r>
    <r>
      <rPr>
        <i/>
        <sz val="11"/>
        <rFont val="Times New Roman"/>
        <family val="1"/>
      </rPr>
      <t>Lasteaed</t>
    </r>
  </si>
  <si>
    <r>
      <rPr>
        <b/>
        <i/>
        <sz val="11"/>
        <rFont val="Times New Roman"/>
        <family val="1"/>
      </rPr>
      <t xml:space="preserve">sh Muud lasteaiad   </t>
    </r>
    <r>
      <rPr>
        <i/>
        <sz val="11"/>
        <rFont val="Times New Roman"/>
        <family val="1"/>
      </rPr>
      <t>(teiste omavalitsute- ja</t>
    </r>
  </si>
  <si>
    <r>
      <rPr>
        <b/>
        <sz val="11"/>
        <rFont val="Times New Roman"/>
        <family val="1"/>
      </rPr>
      <t>Põhiharidus:  Põhikoolid</t>
    </r>
  </si>
  <si>
    <r>
      <rPr>
        <sz val="11"/>
        <rFont val="Times New Roman"/>
        <family val="1"/>
      </rPr>
      <t>Muud toetused, liikmemaksud</t>
    </r>
  </si>
  <si>
    <r>
      <rPr>
        <b/>
        <i/>
        <sz val="11"/>
        <rFont val="Times New Roman"/>
        <family val="1"/>
      </rPr>
      <t>sh Aruküla Põhikool</t>
    </r>
  </si>
  <si>
    <r>
      <rPr>
        <b/>
        <i/>
        <sz val="11"/>
        <rFont val="Times New Roman"/>
        <family val="1"/>
      </rPr>
      <t>sh Raasiku Põhikool</t>
    </r>
  </si>
  <si>
    <r>
      <rPr>
        <b/>
        <i/>
        <sz val="11"/>
        <rFont val="Times New Roman"/>
        <family val="1"/>
      </rPr>
      <t xml:space="preserve">sh Pikavere Mõisakool /   </t>
    </r>
    <r>
      <rPr>
        <i/>
        <sz val="11"/>
        <rFont val="Times New Roman"/>
        <family val="1"/>
      </rPr>
      <t>Kool</t>
    </r>
  </si>
  <si>
    <r>
      <rPr>
        <i/>
        <sz val="11"/>
        <rFont val="Times New Roman"/>
        <family val="1"/>
      </rPr>
      <t>Muud toetused, liikmemaksud</t>
    </r>
  </si>
  <si>
    <r>
      <rPr>
        <b/>
        <i/>
        <sz val="11"/>
        <rFont val="Times New Roman"/>
        <family val="1"/>
      </rPr>
      <t xml:space="preserve">sh Muud põhikoolid   </t>
    </r>
    <r>
      <rPr>
        <i/>
        <sz val="11"/>
        <rFont val="Times New Roman"/>
        <family val="1"/>
      </rPr>
      <t>(teiste omavalitsuste -,</t>
    </r>
  </si>
  <si>
    <r>
      <rPr>
        <b/>
        <sz val="11"/>
        <rFont val="Times New Roman"/>
        <family val="1"/>
      </rPr>
      <t>Üldkeskharidus</t>
    </r>
  </si>
  <si>
    <r>
      <rPr>
        <b/>
        <sz val="11"/>
        <rFont val="Times New Roman"/>
        <family val="1"/>
      </rPr>
      <t>Noorte huviharidus ja huvitegevus</t>
    </r>
  </si>
  <si>
    <r>
      <rPr>
        <b/>
        <sz val="11"/>
        <rFont val="Times New Roman"/>
        <family val="1"/>
      </rPr>
      <t>Koolitransport</t>
    </r>
  </si>
  <si>
    <r>
      <rPr>
        <b/>
        <sz val="11"/>
        <rFont val="Times New Roman"/>
        <family val="1"/>
      </rPr>
      <t>Koolitoit</t>
    </r>
  </si>
  <si>
    <r>
      <rPr>
        <i/>
        <sz val="11"/>
        <rFont val="Times New Roman"/>
        <family val="1"/>
      </rPr>
      <t>sh Aruküla Põhikooli koolitoit</t>
    </r>
  </si>
  <si>
    <r>
      <rPr>
        <i/>
        <sz val="11"/>
        <rFont val="Times New Roman"/>
        <family val="1"/>
      </rPr>
      <t>sh Raasiku Põhikooli koolitoit</t>
    </r>
  </si>
  <si>
    <r>
      <rPr>
        <i/>
        <sz val="11"/>
        <rFont val="Times New Roman"/>
        <family val="1"/>
      </rPr>
      <t>sh Pikavere Mõisakooli koolitoit</t>
    </r>
  </si>
  <si>
    <r>
      <rPr>
        <b/>
        <sz val="11"/>
        <rFont val="Times New Roman"/>
        <family val="1"/>
      </rPr>
      <t>Muu haridus, sh hariduse haldus</t>
    </r>
  </si>
  <si>
    <r>
      <rPr>
        <b/>
        <sz val="11"/>
        <rFont val="Times New Roman"/>
        <family val="1"/>
      </rPr>
      <t>SOTSIAALNE KAITSE</t>
    </r>
  </si>
  <si>
    <r>
      <rPr>
        <b/>
        <sz val="11"/>
        <rFont val="Times New Roman"/>
        <family val="1"/>
      </rPr>
      <t>Hooldekoduteenused</t>
    </r>
  </si>
  <si>
    <r>
      <rPr>
        <b/>
        <sz val="11"/>
        <rFont val="Times New Roman"/>
        <family val="1"/>
      </rPr>
      <t>Eakate sotsiaalne kaitse</t>
    </r>
  </si>
  <si>
    <r>
      <rPr>
        <b/>
        <sz val="11"/>
        <rFont val="Times New Roman"/>
        <family val="1"/>
      </rPr>
      <t>Asendus- ja järelhooldus</t>
    </r>
  </si>
  <si>
    <r>
      <rPr>
        <b/>
        <sz val="11"/>
        <rFont val="Times New Roman"/>
        <family val="1"/>
      </rPr>
      <t>Riiklik toimetulekutoetus</t>
    </r>
  </si>
  <si>
    <r>
      <rPr>
        <b/>
        <sz val="11"/>
        <rFont val="Times New Roman"/>
        <family val="1"/>
      </rPr>
      <t>Muu sotsiaalsete riskirühmade kaitse</t>
    </r>
  </si>
  <si>
    <r>
      <rPr>
        <b/>
        <sz val="11"/>
        <rFont val="Times New Roman"/>
        <family val="1"/>
      </rPr>
      <t xml:space="preserve">Muu sotsiaalne kaitse </t>
    </r>
    <r>
      <rPr>
        <sz val="11"/>
        <rFont val="Times New Roman"/>
        <family val="1"/>
      </rPr>
      <t>sh sotsiaalse kaitse</t>
    </r>
  </si>
  <si>
    <r>
      <rPr>
        <b/>
        <sz val="11"/>
        <rFont val="Times New Roman"/>
        <family val="1"/>
      </rPr>
      <t>KOOND</t>
    </r>
  </si>
  <si>
    <t>Muu-tus %</t>
  </si>
  <si>
    <t>Muud toetused, liikmemaksud</t>
  </si>
  <si>
    <t>Muutus eelarvega%</t>
  </si>
  <si>
    <t>Perekondade ja laste sotsiaalne kaitse</t>
  </si>
  <si>
    <t>Sotsiaaltoetused</t>
  </si>
  <si>
    <t>Personalikulud</t>
  </si>
  <si>
    <t>Huvikool Pääsulind</t>
  </si>
  <si>
    <t>Muud tegevuskulud</t>
  </si>
  <si>
    <t>Puudega inimese isikliku abistaja teenus</t>
  </si>
  <si>
    <t>Puudega täisealise isiku hooldus</t>
  </si>
  <si>
    <t>Majandamiskulud</t>
  </si>
  <si>
    <t>Puudega lapse lapsehoiuteenus</t>
  </si>
  <si>
    <t>Puudega inimese sotsiaaltransporditeenus</t>
  </si>
  <si>
    <t>Lapse tugiisikuteenus</t>
  </si>
  <si>
    <t>Eakate koduteenus</t>
  </si>
  <si>
    <t>Turvakoduteenus</t>
  </si>
  <si>
    <t>Varjupaigateenus</t>
  </si>
  <si>
    <t>Võlanõustamine</t>
  </si>
  <si>
    <t>07</t>
  </si>
  <si>
    <t>Avalikud tervishoiuteenused</t>
  </si>
  <si>
    <t>07400</t>
  </si>
  <si>
    <t>AVALIKUD TERVISHOIUTEENUSED</t>
  </si>
  <si>
    <t>Põhitegevuse kulude eelarveosa 2026</t>
  </si>
  <si>
    <t>45</t>
  </si>
  <si>
    <t>09600</t>
  </si>
  <si>
    <t>Öömaja</t>
  </si>
  <si>
    <t>55</t>
  </si>
  <si>
    <t>Puuetega inimeste erihoolekandeteenus</t>
  </si>
  <si>
    <t>2024 EELARVE</t>
  </si>
  <si>
    <t>Puuetega inimeste sotsiaalne kaitse</t>
  </si>
  <si>
    <t>sh Aruküla Kultuuriselts</t>
  </si>
  <si>
    <r>
      <rPr>
        <b/>
        <sz val="11"/>
        <rFont val="Times New Roman"/>
        <family val="1"/>
      </rPr>
      <t>2025</t>
    </r>
    <r>
      <rPr>
        <b/>
        <sz val="11"/>
        <color theme="1"/>
        <rFont val="Calibri"/>
        <family val="2"/>
        <scheme val="minor"/>
      </rPr>
      <t xml:space="preserve"> EELARVE</t>
    </r>
  </si>
  <si>
    <t>KINNITATUD Raasiku Vallavolikogu …..... 2026. a määrusega nr ..    Lisa  2</t>
  </si>
  <si>
    <t>Organisatsioonid</t>
  </si>
  <si>
    <t xml:space="preserve">Liikmemaksu suurus eurodes </t>
  </si>
  <si>
    <t>Eesti Avatud Noortekeskuste ühendus MTÜ</t>
  </si>
  <si>
    <t>Eesti Jäätmehoolduskeskus MTÜ</t>
  </si>
  <si>
    <t>ELVL</t>
  </si>
  <si>
    <t>Ida-Harju koostöökoda MTÜ</t>
  </si>
  <si>
    <t>Põhja-Eesti Ühistranspordikeskus MTÜ</t>
  </si>
  <si>
    <t>Harju Omavalitsuste Liit</t>
  </si>
  <si>
    <t>6 442,80</t>
  </si>
  <si>
    <t>6 359</t>
  </si>
  <si>
    <t>4 199,58</t>
  </si>
  <si>
    <t>5 369</t>
  </si>
  <si>
    <t>15 319,32</t>
  </si>
  <si>
    <t>Muutustäitmisega%</t>
  </si>
  <si>
    <t>Ettepanekud</t>
  </si>
  <si>
    <t xml:space="preserve">2026 EELARVE 13.01.2026
</t>
  </si>
  <si>
    <t xml:space="preserve">2026 EELARVE 05.02.2026
</t>
  </si>
  <si>
    <t xml:space="preserve">2025 EELARVE täitmine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</si>
</sst>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0"/>
    <numFmt numFmtId="166" formatCode="000000"/>
  </numFmts>
  <fonts count="32" x14ac:knownFonts="1">
    <font>
      <sz val="10"/>
      <color rgb="FF000000"/>
      <name val="Times New Roman"/>
      <charset val="204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  <font>
      <b/>
      <i/>
      <sz val="11"/>
      <name val="Times New Roman"/>
      <family val="1"/>
      <charset val="186"/>
    </font>
    <font>
      <b/>
      <i/>
      <sz val="11"/>
      <color rgb="FF000000"/>
      <name val="Times New Roman"/>
      <family val="2"/>
    </font>
    <font>
      <i/>
      <sz val="11"/>
      <color rgb="FF000000"/>
      <name val="Times New Roman"/>
      <family val="2"/>
    </font>
    <font>
      <i/>
      <sz val="11"/>
      <name val="Times New Roman"/>
      <family val="1"/>
      <charset val="186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i/>
      <sz val="11"/>
      <name val="Times New Roman"/>
      <family val="2"/>
    </font>
    <font>
      <sz val="11"/>
      <name val="Times New Roman"/>
      <family val="2"/>
    </font>
    <font>
      <sz val="8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1"/>
      <color rgb="FF242424"/>
      <name val="Aptos Narrow"/>
      <family val="2"/>
    </font>
    <font>
      <b/>
      <sz val="12"/>
      <color rgb="FF000000"/>
      <name val="Times New Roman"/>
      <family val="1"/>
      <charset val="186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D8D8D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70">
    <xf numFmtId="0" fontId="0" fillId="0" borderId="0" xfId="0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right" vertical="top" shrinkToFit="1"/>
    </xf>
    <xf numFmtId="0" fontId="1" fillId="2" borderId="1" xfId="0" applyFont="1" applyFill="1" applyBorder="1" applyAlignment="1">
      <alignment horizontal="left" vertical="top" wrapText="1"/>
    </xf>
    <xf numFmtId="4" fontId="3" fillId="2" borderId="2" xfId="0" applyNumberFormat="1" applyFont="1" applyFill="1" applyBorder="1" applyAlignment="1">
      <alignment horizontal="right" vertical="top" shrinkToFit="1"/>
    </xf>
    <xf numFmtId="2" fontId="3" fillId="2" borderId="1" xfId="0" applyNumberFormat="1" applyFont="1" applyFill="1" applyBorder="1" applyAlignment="1">
      <alignment horizontal="right" vertical="top" shrinkToFit="1"/>
    </xf>
    <xf numFmtId="1" fontId="4" fillId="2" borderId="1" xfId="0" applyNumberFormat="1" applyFont="1" applyFill="1" applyBorder="1" applyAlignment="1">
      <alignment horizontal="right" vertical="top" shrinkToFit="1"/>
    </xf>
    <xf numFmtId="4" fontId="4" fillId="2" borderId="1" xfId="0" applyNumberFormat="1" applyFont="1" applyFill="1" applyBorder="1" applyAlignment="1">
      <alignment horizontal="right" vertical="top" shrinkToFit="1"/>
    </xf>
    <xf numFmtId="4" fontId="4" fillId="2" borderId="2" xfId="0" applyNumberFormat="1" applyFont="1" applyFill="1" applyBorder="1" applyAlignment="1">
      <alignment horizontal="right" vertical="top" shrinkToFit="1"/>
    </xf>
    <xf numFmtId="2" fontId="4" fillId="2" borderId="1" xfId="0" applyNumberFormat="1" applyFont="1" applyFill="1" applyBorder="1" applyAlignment="1">
      <alignment horizontal="right" vertical="top" shrinkToFit="1"/>
    </xf>
    <xf numFmtId="165" fontId="3" fillId="0" borderId="1" xfId="0" applyNumberFormat="1" applyFont="1" applyBorder="1" applyAlignment="1">
      <alignment horizontal="right" vertical="top" shrinkToFit="1"/>
    </xf>
    <xf numFmtId="0" fontId="1" fillId="0" borderId="1" xfId="0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right" vertical="top" shrinkToFit="1"/>
    </xf>
    <xf numFmtId="2" fontId="3" fillId="0" borderId="1" xfId="0" applyNumberFormat="1" applyFont="1" applyBorder="1" applyAlignment="1">
      <alignment horizontal="right" vertical="top" shrinkToFit="1"/>
    </xf>
    <xf numFmtId="1" fontId="4" fillId="0" borderId="1" xfId="0" applyNumberFormat="1" applyFont="1" applyBorder="1" applyAlignment="1">
      <alignment horizontal="right" vertical="top" shrinkToFit="1"/>
    </xf>
    <xf numFmtId="0" fontId="2" fillId="0" borderId="1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right" vertical="top" shrinkToFit="1"/>
    </xf>
    <xf numFmtId="4" fontId="4" fillId="0" borderId="2" xfId="0" applyNumberFormat="1" applyFont="1" applyBorder="1" applyAlignment="1">
      <alignment horizontal="right" vertical="top" shrinkToFit="1"/>
    </xf>
    <xf numFmtId="2" fontId="4" fillId="0" borderId="1" xfId="0" applyNumberFormat="1" applyFont="1" applyBorder="1" applyAlignment="1">
      <alignment horizontal="right" vertical="top" shrinkToFit="1"/>
    </xf>
    <xf numFmtId="0" fontId="0" fillId="2" borderId="1" xfId="0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2" fontId="4" fillId="0" borderId="2" xfId="0" applyNumberFormat="1" applyFont="1" applyBorder="1" applyAlignment="1">
      <alignment horizontal="right" vertical="top" shrinkToFit="1"/>
    </xf>
    <xf numFmtId="0" fontId="5" fillId="0" borderId="1" xfId="0" applyFont="1" applyBorder="1" applyAlignment="1">
      <alignment horizontal="left" vertical="top" wrapText="1"/>
    </xf>
    <xf numFmtId="4" fontId="6" fillId="0" borderId="2" xfId="0" applyNumberFormat="1" applyFont="1" applyBorder="1" applyAlignment="1">
      <alignment horizontal="right" vertical="top" shrinkToFit="1"/>
    </xf>
    <xf numFmtId="1" fontId="7" fillId="0" borderId="1" xfId="0" applyNumberFormat="1" applyFont="1" applyBorder="1" applyAlignment="1">
      <alignment horizontal="right" vertical="top" shrinkToFit="1"/>
    </xf>
    <xf numFmtId="0" fontId="8" fillId="0" borderId="1" xfId="0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right" vertical="top" shrinkToFit="1"/>
    </xf>
    <xf numFmtId="4" fontId="7" fillId="0" borderId="2" xfId="0" applyNumberFormat="1" applyFont="1" applyBorder="1" applyAlignment="1">
      <alignment horizontal="right" vertical="top" shrinkToFit="1"/>
    </xf>
    <xf numFmtId="2" fontId="7" fillId="0" borderId="1" xfId="0" applyNumberFormat="1" applyFont="1" applyBorder="1" applyAlignment="1">
      <alignment horizontal="right" vertical="top" shrinkToFit="1"/>
    </xf>
    <xf numFmtId="2" fontId="7" fillId="0" borderId="2" xfId="0" applyNumberFormat="1" applyFont="1" applyBorder="1" applyAlignment="1">
      <alignment horizontal="right" vertical="top" shrinkToFit="1"/>
    </xf>
    <xf numFmtId="166" fontId="3" fillId="0" borderId="1" xfId="0" applyNumberFormat="1" applyFont="1" applyBorder="1" applyAlignment="1">
      <alignment horizontal="right" vertical="top" shrinkToFit="1"/>
    </xf>
    <xf numFmtId="2" fontId="4" fillId="2" borderId="2" xfId="0" applyNumberFormat="1" applyFont="1" applyFill="1" applyBorder="1" applyAlignment="1">
      <alignment horizontal="right" vertical="top" shrinkToFit="1"/>
    </xf>
    <xf numFmtId="166" fontId="7" fillId="0" borderId="1" xfId="0" applyNumberFormat="1" applyFont="1" applyBorder="1" applyAlignment="1">
      <alignment horizontal="right" vertical="top" shrinkToFit="1"/>
    </xf>
    <xf numFmtId="2" fontId="6" fillId="0" borderId="1" xfId="0" applyNumberFormat="1" applyFont="1" applyBorder="1" applyAlignment="1">
      <alignment horizontal="right" vertical="top" shrinkToFit="1"/>
    </xf>
    <xf numFmtId="1" fontId="3" fillId="2" borderId="1" xfId="0" applyNumberFormat="1" applyFont="1" applyFill="1" applyBorder="1" applyAlignment="1">
      <alignment horizontal="right" vertical="top" shrinkToFit="1"/>
    </xf>
    <xf numFmtId="1" fontId="3" fillId="0" borderId="1" xfId="0" applyNumberFormat="1" applyFont="1" applyBorder="1" applyAlignment="1">
      <alignment horizontal="right" vertical="top" shrinkToFit="1"/>
    </xf>
    <xf numFmtId="0" fontId="9" fillId="2" borderId="1" xfId="0" applyFont="1" applyFill="1" applyBorder="1" applyAlignment="1">
      <alignment horizontal="center" vertical="top" wrapText="1"/>
    </xf>
    <xf numFmtId="4" fontId="0" fillId="0" borderId="0" xfId="0" applyNumberFormat="1" applyAlignment="1">
      <alignment horizontal="left" vertical="top"/>
    </xf>
    <xf numFmtId="4" fontId="15" fillId="0" borderId="0" xfId="0" applyNumberFormat="1" applyFont="1" applyAlignment="1">
      <alignment horizontal="left" vertical="top"/>
    </xf>
    <xf numFmtId="4" fontId="13" fillId="0" borderId="1" xfId="0" applyNumberFormat="1" applyFont="1" applyBorder="1" applyAlignment="1">
      <alignment horizontal="right" vertical="top" shrinkToFit="1"/>
    </xf>
    <xf numFmtId="2" fontId="13" fillId="0" borderId="1" xfId="0" applyNumberFormat="1" applyFont="1" applyBorder="1" applyAlignment="1">
      <alignment horizontal="right" vertical="top" shrinkToFit="1"/>
    </xf>
    <xf numFmtId="4" fontId="4" fillId="3" borderId="1" xfId="0" applyNumberFormat="1" applyFont="1" applyFill="1" applyBorder="1" applyAlignment="1">
      <alignment horizontal="right" vertical="top" shrinkToFit="1"/>
    </xf>
    <xf numFmtId="4" fontId="13" fillId="3" borderId="1" xfId="0" applyNumberFormat="1" applyFont="1" applyFill="1" applyBorder="1" applyAlignment="1">
      <alignment horizontal="right" vertical="top" shrinkToFit="1"/>
    </xf>
    <xf numFmtId="4" fontId="7" fillId="3" borderId="1" xfId="0" applyNumberFormat="1" applyFont="1" applyFill="1" applyBorder="1" applyAlignment="1">
      <alignment horizontal="right" vertical="top" shrinkToFit="1"/>
    </xf>
    <xf numFmtId="4" fontId="16" fillId="3" borderId="1" xfId="0" applyNumberFormat="1" applyFont="1" applyFill="1" applyBorder="1" applyAlignment="1">
      <alignment horizontal="right" vertical="top" shrinkToFit="1"/>
    </xf>
    <xf numFmtId="4" fontId="17" fillId="3" borderId="1" xfId="0" applyNumberFormat="1" applyFont="1" applyFill="1" applyBorder="1" applyAlignment="1">
      <alignment horizontal="right" vertical="top" shrinkToFit="1"/>
    </xf>
    <xf numFmtId="4" fontId="17" fillId="0" borderId="1" xfId="0" applyNumberFormat="1" applyFont="1" applyBorder="1" applyAlignment="1">
      <alignment horizontal="right" vertical="top" shrinkToFit="1"/>
    </xf>
    <xf numFmtId="2" fontId="4" fillId="3" borderId="1" xfId="0" applyNumberFormat="1" applyFont="1" applyFill="1" applyBorder="1" applyAlignment="1">
      <alignment horizontal="right" vertical="top" shrinkToFit="1"/>
    </xf>
    <xf numFmtId="0" fontId="15" fillId="0" borderId="0" xfId="0" applyFont="1" applyAlignment="1">
      <alignment horizontal="left" vertical="top"/>
    </xf>
    <xf numFmtId="0" fontId="10" fillId="2" borderId="1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right" vertical="top" shrinkToFit="1"/>
    </xf>
    <xf numFmtId="4" fontId="3" fillId="2" borderId="7" xfId="0" applyNumberFormat="1" applyFont="1" applyFill="1" applyBorder="1" applyAlignment="1">
      <alignment horizontal="right" vertical="top" shrinkToFit="1"/>
    </xf>
    <xf numFmtId="4" fontId="4" fillId="2" borderId="7" xfId="0" applyNumberFormat="1" applyFont="1" applyFill="1" applyBorder="1" applyAlignment="1">
      <alignment horizontal="right" vertical="top" shrinkToFit="1"/>
    </xf>
    <xf numFmtId="4" fontId="4" fillId="2" borderId="8" xfId="0" applyNumberFormat="1" applyFont="1" applyFill="1" applyBorder="1" applyAlignment="1">
      <alignment horizontal="right" vertical="top" shrinkToFit="1"/>
    </xf>
    <xf numFmtId="2" fontId="3" fillId="0" borderId="2" xfId="0" applyNumberFormat="1" applyFont="1" applyBorder="1" applyAlignment="1">
      <alignment horizontal="right" vertical="top" shrinkToFit="1"/>
    </xf>
    <xf numFmtId="2" fontId="3" fillId="2" borderId="2" xfId="0" applyNumberFormat="1" applyFont="1" applyFill="1" applyBorder="1" applyAlignment="1">
      <alignment horizontal="right" vertical="top" shrinkToFit="1"/>
    </xf>
    <xf numFmtId="2" fontId="6" fillId="0" borderId="2" xfId="0" applyNumberFormat="1" applyFont="1" applyBorder="1" applyAlignment="1">
      <alignment horizontal="right" vertical="top" shrinkToFit="1"/>
    </xf>
    <xf numFmtId="4" fontId="0" fillId="0" borderId="0" xfId="0" applyNumberFormat="1" applyAlignment="1">
      <alignment horizontal="right" vertical="top"/>
    </xf>
    <xf numFmtId="0" fontId="0" fillId="0" borderId="0" xfId="0" applyAlignment="1">
      <alignment horizontal="right" vertical="top"/>
    </xf>
    <xf numFmtId="4" fontId="19" fillId="0" borderId="0" xfId="0" applyNumberFormat="1" applyFont="1" applyAlignment="1">
      <alignment horizontal="right" vertical="top"/>
    </xf>
    <xf numFmtId="1" fontId="4" fillId="3" borderId="1" xfId="0" applyNumberFormat="1" applyFont="1" applyFill="1" applyBorder="1" applyAlignment="1">
      <alignment horizontal="right" vertical="top" shrinkToFit="1"/>
    </xf>
    <xf numFmtId="0" fontId="2" fillId="3" borderId="1" xfId="0" applyFont="1" applyFill="1" applyBorder="1" applyAlignment="1">
      <alignment horizontal="left" vertical="top" wrapText="1"/>
    </xf>
    <xf numFmtId="4" fontId="4" fillId="3" borderId="2" xfId="0" applyNumberFormat="1" applyFont="1" applyFill="1" applyBorder="1" applyAlignment="1">
      <alignment horizontal="right" vertical="top" shrinkToFit="1"/>
    </xf>
    <xf numFmtId="0" fontId="0" fillId="3" borderId="0" xfId="0" applyFill="1" applyAlignment="1">
      <alignment horizontal="left" vertical="top"/>
    </xf>
    <xf numFmtId="1" fontId="7" fillId="3" borderId="1" xfId="0" applyNumberFormat="1" applyFont="1" applyFill="1" applyBorder="1" applyAlignment="1">
      <alignment horizontal="right" vertical="top" shrinkToFit="1"/>
    </xf>
    <xf numFmtId="0" fontId="8" fillId="3" borderId="1" xfId="0" applyFont="1" applyFill="1" applyBorder="1" applyAlignment="1">
      <alignment horizontal="left" vertical="top" wrapText="1"/>
    </xf>
    <xf numFmtId="4" fontId="7" fillId="3" borderId="2" xfId="0" applyNumberFormat="1" applyFont="1" applyFill="1" applyBorder="1" applyAlignment="1">
      <alignment horizontal="right" vertical="top" shrinkToFit="1"/>
    </xf>
    <xf numFmtId="2" fontId="7" fillId="3" borderId="1" xfId="0" applyNumberFormat="1" applyFont="1" applyFill="1" applyBorder="1" applyAlignment="1">
      <alignment horizontal="right" vertical="top" shrinkToFit="1"/>
    </xf>
    <xf numFmtId="0" fontId="1" fillId="2" borderId="2" xfId="0" applyFont="1" applyFill="1" applyBorder="1" applyAlignment="1">
      <alignment horizontal="right" vertical="top" wrapText="1"/>
    </xf>
    <xf numFmtId="0" fontId="20" fillId="2" borderId="6" xfId="0" applyFont="1" applyFill="1" applyBorder="1" applyAlignment="1">
      <alignment horizontal="center" vertical="top" wrapText="1"/>
    </xf>
    <xf numFmtId="4" fontId="4" fillId="0" borderId="7" xfId="0" applyNumberFormat="1" applyFont="1" applyBorder="1" applyAlignment="1">
      <alignment horizontal="right" vertical="top" shrinkToFit="1"/>
    </xf>
    <xf numFmtId="2" fontId="4" fillId="0" borderId="7" xfId="0" applyNumberFormat="1" applyFont="1" applyBorder="1" applyAlignment="1">
      <alignment horizontal="right" vertical="top" shrinkToFit="1"/>
    </xf>
    <xf numFmtId="2" fontId="13" fillId="0" borderId="7" xfId="0" applyNumberFormat="1" applyFont="1" applyBorder="1" applyAlignment="1">
      <alignment horizontal="right" wrapText="1"/>
    </xf>
    <xf numFmtId="4" fontId="17" fillId="0" borderId="7" xfId="0" applyNumberFormat="1" applyFont="1" applyBorder="1" applyAlignment="1">
      <alignment horizontal="right" vertical="top" shrinkToFit="1"/>
    </xf>
    <xf numFmtId="2" fontId="4" fillId="3" borderId="7" xfId="0" applyNumberFormat="1" applyFont="1" applyFill="1" applyBorder="1" applyAlignment="1">
      <alignment horizontal="right" vertical="top" shrinkToFit="1"/>
    </xf>
    <xf numFmtId="4" fontId="7" fillId="0" borderId="7" xfId="0" applyNumberFormat="1" applyFont="1" applyBorder="1" applyAlignment="1">
      <alignment horizontal="right" vertical="top" shrinkToFit="1"/>
    </xf>
    <xf numFmtId="2" fontId="7" fillId="0" borderId="7" xfId="0" applyNumberFormat="1" applyFont="1" applyBorder="1" applyAlignment="1">
      <alignment horizontal="right" vertical="top" shrinkToFit="1"/>
    </xf>
    <xf numFmtId="2" fontId="4" fillId="2" borderId="7" xfId="0" applyNumberFormat="1" applyFont="1" applyFill="1" applyBorder="1" applyAlignment="1">
      <alignment horizontal="right" vertical="top" shrinkToFit="1"/>
    </xf>
    <xf numFmtId="4" fontId="13" fillId="0" borderId="9" xfId="0" applyNumberFormat="1" applyFont="1" applyBorder="1" applyAlignment="1">
      <alignment horizontal="right" vertical="top"/>
    </xf>
    <xf numFmtId="4" fontId="13" fillId="0" borderId="7" xfId="0" applyNumberFormat="1" applyFont="1" applyBorder="1" applyAlignment="1">
      <alignment horizontal="right" vertical="top" shrinkToFit="1"/>
    </xf>
    <xf numFmtId="2" fontId="13" fillId="0" borderId="7" xfId="0" applyNumberFormat="1" applyFont="1" applyBorder="1" applyAlignment="1">
      <alignment horizontal="right" vertical="top" shrinkToFit="1"/>
    </xf>
    <xf numFmtId="4" fontId="4" fillId="3" borderId="7" xfId="0" applyNumberFormat="1" applyFont="1" applyFill="1" applyBorder="1" applyAlignment="1">
      <alignment horizontal="right" vertical="top" shrinkToFit="1"/>
    </xf>
    <xf numFmtId="0" fontId="9" fillId="0" borderId="1" xfId="0" applyFont="1" applyBorder="1" applyAlignment="1">
      <alignment horizontal="left" vertical="top" wrapText="1"/>
    </xf>
    <xf numFmtId="2" fontId="14" fillId="4" borderId="10" xfId="0" applyNumberFormat="1" applyFont="1" applyFill="1" applyBorder="1" applyAlignment="1">
      <alignment horizontal="right" vertical="top"/>
    </xf>
    <xf numFmtId="4" fontId="3" fillId="5" borderId="7" xfId="0" applyNumberFormat="1" applyFont="1" applyFill="1" applyBorder="1" applyAlignment="1">
      <alignment horizontal="right" vertical="top" shrinkToFit="1"/>
    </xf>
    <xf numFmtId="4" fontId="6" fillId="5" borderId="7" xfId="0" applyNumberFormat="1" applyFont="1" applyFill="1" applyBorder="1" applyAlignment="1">
      <alignment horizontal="right" vertical="top" shrinkToFit="1"/>
    </xf>
    <xf numFmtId="4" fontId="21" fillId="5" borderId="9" xfId="0" applyNumberFormat="1" applyFont="1" applyFill="1" applyBorder="1" applyAlignment="1">
      <alignment horizontal="right" vertical="top"/>
    </xf>
    <xf numFmtId="4" fontId="14" fillId="5" borderId="9" xfId="0" applyNumberFormat="1" applyFont="1" applyFill="1" applyBorder="1" applyAlignment="1">
      <alignment horizontal="right" vertical="top"/>
    </xf>
    <xf numFmtId="4" fontId="3" fillId="5" borderId="2" xfId="0" applyNumberFormat="1" applyFont="1" applyFill="1" applyBorder="1" applyAlignment="1">
      <alignment horizontal="right" vertical="top" shrinkToFit="1"/>
    </xf>
    <xf numFmtId="4" fontId="3" fillId="5" borderId="4" xfId="0" applyNumberFormat="1" applyFont="1" applyFill="1" applyBorder="1" applyAlignment="1">
      <alignment horizontal="right" vertical="top" shrinkToFit="1"/>
    </xf>
    <xf numFmtId="4" fontId="3" fillId="5" borderId="1" xfId="0" applyNumberFormat="1" applyFont="1" applyFill="1" applyBorder="1" applyAlignment="1">
      <alignment horizontal="right" vertical="top" shrinkToFit="1"/>
    </xf>
    <xf numFmtId="4" fontId="6" fillId="5" borderId="2" xfId="0" applyNumberFormat="1" applyFont="1" applyFill="1" applyBorder="1" applyAlignment="1">
      <alignment horizontal="right" vertical="top" shrinkToFit="1"/>
    </xf>
    <xf numFmtId="4" fontId="13" fillId="0" borderId="2" xfId="0" applyNumberFormat="1" applyFont="1" applyBorder="1" applyAlignment="1">
      <alignment horizontal="right" vertical="top" shrinkToFit="1"/>
    </xf>
    <xf numFmtId="4" fontId="13" fillId="0" borderId="1" xfId="0" applyNumberFormat="1" applyFont="1" applyBorder="1" applyAlignment="1">
      <alignment horizontal="right" wrapText="1"/>
    </xf>
    <xf numFmtId="4" fontId="3" fillId="5" borderId="7" xfId="0" quotePrefix="1" applyNumberFormat="1" applyFont="1" applyFill="1" applyBorder="1" applyAlignment="1">
      <alignment horizontal="right" vertical="top" shrinkToFit="1"/>
    </xf>
    <xf numFmtId="9" fontId="0" fillId="0" borderId="0" xfId="0" applyNumberFormat="1" applyAlignment="1">
      <alignment horizontal="left" vertical="top"/>
    </xf>
    <xf numFmtId="0" fontId="15" fillId="3" borderId="0" xfId="0" applyFont="1" applyFill="1" applyAlignment="1">
      <alignment horizontal="left" vertical="top"/>
    </xf>
    <xf numFmtId="4" fontId="13" fillId="0" borderId="11" xfId="0" applyNumberFormat="1" applyFont="1" applyBorder="1" applyAlignment="1">
      <alignment horizontal="right" vertical="top"/>
    </xf>
    <xf numFmtId="1" fontId="14" fillId="0" borderId="1" xfId="0" applyNumberFormat="1" applyFont="1" applyBorder="1" applyAlignment="1">
      <alignment horizontal="right" vertical="top" shrinkToFit="1"/>
    </xf>
    <xf numFmtId="0" fontId="23" fillId="0" borderId="0" xfId="0" applyFont="1" applyAlignment="1">
      <alignment horizontal="left" vertical="top"/>
    </xf>
    <xf numFmtId="4" fontId="14" fillId="5" borderId="2" xfId="0" applyNumberFormat="1" applyFont="1" applyFill="1" applyBorder="1" applyAlignment="1">
      <alignment horizontal="right" vertical="top" shrinkToFit="1"/>
    </xf>
    <xf numFmtId="2" fontId="4" fillId="5" borderId="1" xfId="0" applyNumberFormat="1" applyFont="1" applyFill="1" applyBorder="1" applyAlignment="1">
      <alignment horizontal="right" vertical="top" shrinkToFit="1"/>
    </xf>
    <xf numFmtId="2" fontId="4" fillId="5" borderId="2" xfId="0" applyNumberFormat="1" applyFont="1" applyFill="1" applyBorder="1" applyAlignment="1">
      <alignment horizontal="right" vertical="top" shrinkToFit="1"/>
    </xf>
    <xf numFmtId="4" fontId="14" fillId="5" borderId="7" xfId="0" applyNumberFormat="1" applyFont="1" applyFill="1" applyBorder="1" applyAlignment="1">
      <alignment horizontal="right" vertical="top" shrinkToFit="1"/>
    </xf>
    <xf numFmtId="2" fontId="14" fillId="5" borderId="1" xfId="0" applyNumberFormat="1" applyFont="1" applyFill="1" applyBorder="1" applyAlignment="1">
      <alignment horizontal="right" vertical="top" shrinkToFit="1"/>
    </xf>
    <xf numFmtId="2" fontId="14" fillId="5" borderId="2" xfId="0" applyNumberFormat="1" applyFont="1" applyFill="1" applyBorder="1" applyAlignment="1">
      <alignment horizontal="right" vertical="top" shrinkToFit="1"/>
    </xf>
    <xf numFmtId="2" fontId="13" fillId="0" borderId="2" xfId="0" applyNumberFormat="1" applyFont="1" applyBorder="1" applyAlignment="1">
      <alignment horizontal="right" vertical="top" shrinkToFit="1"/>
    </xf>
    <xf numFmtId="4" fontId="14" fillId="5" borderId="1" xfId="0" applyNumberFormat="1" applyFont="1" applyFill="1" applyBorder="1" applyAlignment="1">
      <alignment horizontal="right" vertical="top" shrinkToFit="1"/>
    </xf>
    <xf numFmtId="1" fontId="14" fillId="0" borderId="1" xfId="0" quotePrefix="1" applyNumberFormat="1" applyFont="1" applyBorder="1" applyAlignment="1">
      <alignment horizontal="right" vertical="top" shrinkToFit="1"/>
    </xf>
    <xf numFmtId="0" fontId="10" fillId="2" borderId="1" xfId="0" applyFont="1" applyFill="1" applyBorder="1" applyAlignment="1">
      <alignment horizontal="left" vertical="top" wrapText="1"/>
    </xf>
    <xf numFmtId="1" fontId="14" fillId="4" borderId="1" xfId="0" quotePrefix="1" applyNumberFormat="1" applyFont="1" applyFill="1" applyBorder="1" applyAlignment="1">
      <alignment horizontal="right" vertical="top" shrinkToFit="1"/>
    </xf>
    <xf numFmtId="0" fontId="24" fillId="4" borderId="0" xfId="0" applyFont="1" applyFill="1" applyAlignment="1">
      <alignment horizontal="left" vertical="top"/>
    </xf>
    <xf numFmtId="1" fontId="4" fillId="4" borderId="1" xfId="0" applyNumberFormat="1" applyFont="1" applyFill="1" applyBorder="1" applyAlignment="1">
      <alignment horizontal="right" vertical="top" shrinkToFit="1"/>
    </xf>
    <xf numFmtId="0" fontId="2" fillId="4" borderId="1" xfId="0" applyFont="1" applyFill="1" applyBorder="1" applyAlignment="1">
      <alignment horizontal="left" vertical="top" wrapText="1"/>
    </xf>
    <xf numFmtId="4" fontId="4" fillId="4" borderId="2" xfId="0" applyNumberFormat="1" applyFont="1" applyFill="1" applyBorder="1" applyAlignment="1">
      <alignment horizontal="right" vertical="top" shrinkToFit="1"/>
    </xf>
    <xf numFmtId="2" fontId="4" fillId="4" borderId="1" xfId="0" applyNumberFormat="1" applyFont="1" applyFill="1" applyBorder="1" applyAlignment="1">
      <alignment horizontal="right" vertical="top" shrinkToFit="1"/>
    </xf>
    <xf numFmtId="4" fontId="4" fillId="4" borderId="1" xfId="0" applyNumberFormat="1" applyFont="1" applyFill="1" applyBorder="1" applyAlignment="1">
      <alignment horizontal="right" vertical="top" shrinkToFit="1"/>
    </xf>
    <xf numFmtId="4" fontId="4" fillId="4" borderId="7" xfId="0" applyNumberFormat="1" applyFont="1" applyFill="1" applyBorder="1" applyAlignment="1">
      <alignment horizontal="right" vertical="top" shrinkToFit="1"/>
    </xf>
    <xf numFmtId="2" fontId="3" fillId="5" borderId="1" xfId="0" applyNumberFormat="1" applyFont="1" applyFill="1" applyBorder="1" applyAlignment="1">
      <alignment horizontal="right" vertical="top" shrinkToFit="1"/>
    </xf>
    <xf numFmtId="0" fontId="22" fillId="0" borderId="0" xfId="0" applyFont="1" applyAlignment="1">
      <alignment horizontal="left" vertical="top"/>
    </xf>
    <xf numFmtId="4" fontId="17" fillId="3" borderId="2" xfId="0" applyNumberFormat="1" applyFont="1" applyFill="1" applyBorder="1" applyAlignment="1">
      <alignment horizontal="right" vertical="top" shrinkToFit="1"/>
    </xf>
    <xf numFmtId="0" fontId="11" fillId="0" borderId="1" xfId="0" applyFont="1" applyBorder="1" applyAlignment="1">
      <alignment horizontal="left" vertical="top" wrapText="1"/>
    </xf>
    <xf numFmtId="165" fontId="25" fillId="0" borderId="1" xfId="0" quotePrefix="1" applyNumberFormat="1" applyFont="1" applyBorder="1" applyAlignment="1">
      <alignment horizontal="right" vertical="top" shrinkToFit="1"/>
    </xf>
    <xf numFmtId="4" fontId="25" fillId="0" borderId="2" xfId="0" applyNumberFormat="1" applyFont="1" applyBorder="1" applyAlignment="1">
      <alignment horizontal="right" vertical="top" shrinkToFit="1"/>
    </xf>
    <xf numFmtId="2" fontId="25" fillId="0" borderId="1" xfId="0" applyNumberFormat="1" applyFont="1" applyBorder="1" applyAlignment="1">
      <alignment horizontal="right" vertical="top" shrinkToFit="1"/>
    </xf>
    <xf numFmtId="2" fontId="25" fillId="0" borderId="2" xfId="0" applyNumberFormat="1" applyFont="1" applyBorder="1" applyAlignment="1">
      <alignment horizontal="right" vertical="top" shrinkToFit="1"/>
    </xf>
    <xf numFmtId="4" fontId="25" fillId="0" borderId="7" xfId="0" applyNumberFormat="1" applyFont="1" applyBorder="1" applyAlignment="1">
      <alignment horizontal="right" vertical="top" shrinkToFit="1"/>
    </xf>
    <xf numFmtId="2" fontId="7" fillId="5" borderId="1" xfId="0" applyNumberFormat="1" applyFont="1" applyFill="1" applyBorder="1" applyAlignment="1">
      <alignment horizontal="right" vertical="top" shrinkToFit="1"/>
    </xf>
    <xf numFmtId="2" fontId="7" fillId="5" borderId="2" xfId="0" applyNumberFormat="1" applyFont="1" applyFill="1" applyBorder="1" applyAlignment="1">
      <alignment horizontal="right" vertical="top" shrinkToFit="1"/>
    </xf>
    <xf numFmtId="4" fontId="7" fillId="5" borderId="7" xfId="0" applyNumberFormat="1" applyFont="1" applyFill="1" applyBorder="1" applyAlignment="1">
      <alignment horizontal="right" vertical="top" shrinkToFit="1"/>
    </xf>
    <xf numFmtId="166" fontId="26" fillId="0" borderId="1" xfId="0" quotePrefix="1" applyNumberFormat="1" applyFont="1" applyBorder="1" applyAlignment="1">
      <alignment horizontal="right" vertical="top" shrinkToFit="1"/>
    </xf>
    <xf numFmtId="166" fontId="25" fillId="0" borderId="1" xfId="0" quotePrefix="1" applyNumberFormat="1" applyFont="1" applyBorder="1" applyAlignment="1">
      <alignment horizontal="right" vertical="top" shrinkToFit="1"/>
    </xf>
    <xf numFmtId="4" fontId="26" fillId="5" borderId="2" xfId="0" applyNumberFormat="1" applyFont="1" applyFill="1" applyBorder="1" applyAlignment="1">
      <alignment horizontal="right" vertical="top" shrinkToFit="1"/>
    </xf>
    <xf numFmtId="1" fontId="25" fillId="0" borderId="1" xfId="0" applyNumberFormat="1" applyFont="1" applyBorder="1" applyAlignment="1">
      <alignment horizontal="right" vertical="top" shrinkToFit="1"/>
    </xf>
    <xf numFmtId="2" fontId="14" fillId="0" borderId="1" xfId="0" applyNumberFormat="1" applyFont="1" applyBorder="1" applyAlignment="1">
      <alignment horizontal="right" vertical="top" shrinkToFit="1"/>
    </xf>
    <xf numFmtId="2" fontId="14" fillId="0" borderId="2" xfId="0" applyNumberFormat="1" applyFont="1" applyBorder="1" applyAlignment="1">
      <alignment horizontal="right" vertical="top" shrinkToFit="1"/>
    </xf>
    <xf numFmtId="0" fontId="9" fillId="2" borderId="6" xfId="0" applyFont="1" applyFill="1" applyBorder="1" applyAlignment="1">
      <alignment horizontal="center" vertical="center" wrapText="1"/>
    </xf>
    <xf numFmtId="4" fontId="3" fillId="5" borderId="5" xfId="0" applyNumberFormat="1" applyFont="1" applyFill="1" applyBorder="1" applyAlignment="1">
      <alignment horizontal="right" vertical="top" shrinkToFit="1"/>
    </xf>
    <xf numFmtId="4" fontId="4" fillId="5" borderId="2" xfId="0" applyNumberFormat="1" applyFont="1" applyFill="1" applyBorder="1" applyAlignment="1">
      <alignment horizontal="right" vertical="top" shrinkToFit="1"/>
    </xf>
    <xf numFmtId="4" fontId="4" fillId="5" borderId="7" xfId="0" applyNumberFormat="1" applyFont="1" applyFill="1" applyBorder="1" applyAlignment="1">
      <alignment horizontal="right" vertical="top" shrinkToFit="1"/>
    </xf>
    <xf numFmtId="0" fontId="27" fillId="0" borderId="0" xfId="0" applyFont="1" applyAlignment="1">
      <alignment horizontal="center" vertical="center" wrapText="1"/>
    </xf>
    <xf numFmtId="4" fontId="6" fillId="5" borderId="13" xfId="0" applyNumberFormat="1" applyFont="1" applyFill="1" applyBorder="1" applyAlignment="1">
      <alignment horizontal="right" vertical="top" shrinkToFit="1"/>
    </xf>
    <xf numFmtId="2" fontId="3" fillId="2" borderId="13" xfId="0" applyNumberFormat="1" applyFont="1" applyFill="1" applyBorder="1" applyAlignment="1">
      <alignment horizontal="right" vertical="top" shrinkToFit="1"/>
    </xf>
    <xf numFmtId="4" fontId="7" fillId="3" borderId="14" xfId="0" applyNumberFormat="1" applyFont="1" applyFill="1" applyBorder="1" applyAlignment="1">
      <alignment horizontal="right" vertical="top" shrinkToFit="1"/>
    </xf>
    <xf numFmtId="2" fontId="3" fillId="2" borderId="5" xfId="0" applyNumberFormat="1" applyFont="1" applyFill="1" applyBorder="1" applyAlignment="1">
      <alignment horizontal="right" vertical="top" shrinkToFit="1"/>
    </xf>
    <xf numFmtId="4" fontId="4" fillId="0" borderId="1" xfId="0" quotePrefix="1" applyNumberFormat="1" applyFont="1" applyBorder="1" applyAlignment="1">
      <alignment horizontal="right" vertical="top" shrinkToFit="1"/>
    </xf>
    <xf numFmtId="1" fontId="0" fillId="0" borderId="0" xfId="0" applyNumberFormat="1" applyAlignment="1">
      <alignment horizontal="right" vertical="top"/>
    </xf>
    <xf numFmtId="1" fontId="0" fillId="0" borderId="0" xfId="0" applyNumberFormat="1" applyAlignment="1">
      <alignment horizontal="left" vertical="top"/>
    </xf>
    <xf numFmtId="1" fontId="22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left" vertical="top"/>
    </xf>
    <xf numFmtId="0" fontId="30" fillId="0" borderId="0" xfId="0" applyFont="1" applyAlignment="1">
      <alignment horizontal="left" vertical="top"/>
    </xf>
    <xf numFmtId="0" fontId="15" fillId="0" borderId="0" xfId="0" applyFont="1" applyAlignment="1">
      <alignment horizontal="center" vertical="center" wrapText="1"/>
    </xf>
    <xf numFmtId="0" fontId="27" fillId="0" borderId="15" xfId="0" applyFont="1" applyBorder="1" applyAlignment="1">
      <alignment horizontal="left" vertical="top"/>
    </xf>
    <xf numFmtId="0" fontId="27" fillId="0" borderId="16" xfId="0" applyFont="1" applyBorder="1" applyAlignment="1">
      <alignment horizontal="right" vertical="top"/>
    </xf>
    <xf numFmtId="0" fontId="27" fillId="0" borderId="17" xfId="0" applyFont="1" applyBorder="1" applyAlignment="1">
      <alignment horizontal="left" vertical="top"/>
    </xf>
    <xf numFmtId="0" fontId="27" fillId="0" borderId="18" xfId="0" applyFont="1" applyBorder="1" applyAlignment="1">
      <alignment horizontal="right" vertical="top"/>
    </xf>
    <xf numFmtId="0" fontId="27" fillId="0" borderId="19" xfId="0" applyFont="1" applyBorder="1" applyAlignment="1">
      <alignment horizontal="left" vertical="top"/>
    </xf>
    <xf numFmtId="0" fontId="0" fillId="0" borderId="20" xfId="0" applyBorder="1" applyAlignment="1">
      <alignment vertical="top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4" fontId="26" fillId="5" borderId="7" xfId="0" applyNumberFormat="1" applyFont="1" applyFill="1" applyBorder="1" applyAlignment="1">
      <alignment horizontal="right" vertical="top" shrinkToFit="1"/>
    </xf>
    <xf numFmtId="4" fontId="3" fillId="5" borderId="23" xfId="0" applyNumberFormat="1" applyFont="1" applyFill="1" applyBorder="1" applyAlignment="1">
      <alignment horizontal="right" vertical="top" shrinkToFit="1"/>
    </xf>
    <xf numFmtId="4" fontId="4" fillId="0" borderId="8" xfId="0" applyNumberFormat="1" applyFont="1" applyBorder="1" applyAlignment="1">
      <alignment horizontal="right" vertical="top" shrinkToFit="1"/>
    </xf>
    <xf numFmtId="4" fontId="13" fillId="0" borderId="12" xfId="0" applyNumberFormat="1" applyFont="1" applyBorder="1" applyAlignment="1">
      <alignment horizontal="right" vertical="top"/>
    </xf>
    <xf numFmtId="0" fontId="28" fillId="0" borderId="0" xfId="0" applyFont="1" applyAlignment="1">
      <alignment horizontal="left" wrapText="1" indent="1"/>
    </xf>
    <xf numFmtId="0" fontId="0" fillId="0" borderId="0" xfId="0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elena Aasma" id="{08EF4A94-E267-40BA-9718-E3CD6FA12E4B}" userId="S::jelena.aasma@raasiku.ee::fbe6cec8-db02-4b18-9109-1dec70dbb760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04" dT="2026-02-05T14:20:07.66" personId="{08EF4A94-E267-40BA-9718-E3CD6FA12E4B}" id="{23756B82-0575-4063-B460-DE8090416E29}">
    <text>3000 huvihariduse raha</text>
  </threadedComment>
  <threadedComment ref="J144" dT="2026-02-05T14:08:03.04" personId="{08EF4A94-E267-40BA-9718-E3CD6FA12E4B}" id="{13226008-86D5-4F29-AD13-3C305F924550}">
    <text>Riigiõpetajate lisatasu</text>
  </threadedComment>
  <threadedComment ref="J147" dT="2026-02-05T14:08:46.70" personId="{08EF4A94-E267-40BA-9718-E3CD6FA12E4B}" id="{4C003871-D433-451C-9093-2AE52F1C62AC}">
    <text xml:space="preserve">Riigiõpetajate liisatasu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7"/>
  <sheetViews>
    <sheetView tabSelected="1" topLeftCell="A115" zoomScale="129" zoomScaleNormal="129" workbookViewId="0">
      <selection activeCell="L160" sqref="L160"/>
    </sheetView>
  </sheetViews>
  <sheetFormatPr defaultRowHeight="13.2" x14ac:dyDescent="0.25"/>
  <cols>
    <col min="1" max="1" width="4.77734375" customWidth="1"/>
    <col min="2" max="2" width="35" customWidth="1"/>
    <col min="3" max="3" width="4.77734375" hidden="1" customWidth="1"/>
    <col min="4" max="4" width="12.88671875" customWidth="1"/>
    <col min="5" max="6" width="0.109375" customWidth="1"/>
    <col min="7" max="7" width="16" customWidth="1"/>
    <col min="8" max="8" width="9.5546875" customWidth="1"/>
    <col min="9" max="11" width="14.33203125" customWidth="1"/>
    <col min="12" max="13" width="10.44140625" customWidth="1"/>
    <col min="14" max="14" width="29.44140625" customWidth="1"/>
    <col min="15" max="15" width="14.5546875" customWidth="1"/>
    <col min="16" max="16" width="11.44140625" bestFit="1" customWidth="1"/>
  </cols>
  <sheetData>
    <row r="1" spans="1:17" ht="84.75" customHeight="1" x14ac:dyDescent="0.3">
      <c r="A1" s="168" t="s">
        <v>96</v>
      </c>
      <c r="B1" s="168"/>
      <c r="C1" s="168"/>
      <c r="D1" s="169"/>
      <c r="E1" s="169"/>
      <c r="F1" s="169"/>
      <c r="G1" s="169"/>
      <c r="H1" s="169"/>
      <c r="N1" s="144" t="s">
        <v>106</v>
      </c>
    </row>
    <row r="2" spans="1:17" ht="43.5" customHeight="1" x14ac:dyDescent="0.25">
      <c r="A2" s="51" t="s">
        <v>0</v>
      </c>
      <c r="B2" s="51" t="s">
        <v>1</v>
      </c>
      <c r="C2" s="140" t="s">
        <v>102</v>
      </c>
      <c r="D2" s="53" t="s">
        <v>105</v>
      </c>
      <c r="E2" s="50" t="s">
        <v>74</v>
      </c>
      <c r="F2" s="50"/>
      <c r="G2" s="37" t="s">
        <v>124</v>
      </c>
      <c r="H2" s="72" t="s">
        <v>76</v>
      </c>
      <c r="I2" s="73" t="s">
        <v>122</v>
      </c>
      <c r="J2" s="73" t="s">
        <v>121</v>
      </c>
      <c r="K2" s="73" t="s">
        <v>123</v>
      </c>
      <c r="L2" s="72" t="s">
        <v>120</v>
      </c>
      <c r="M2" s="72" t="s">
        <v>76</v>
      </c>
    </row>
    <row r="3" spans="1:17" ht="15.75" customHeight="1" x14ac:dyDescent="0.25">
      <c r="A3" s="2">
        <v>1</v>
      </c>
      <c r="B3" s="3" t="s">
        <v>2</v>
      </c>
      <c r="C3" s="55">
        <f>C4+C5+C6+C7+C8</f>
        <v>1369848.1700000002</v>
      </c>
      <c r="D3" s="93">
        <f>D4+D5+D6+D7+D8</f>
        <v>1518414.44</v>
      </c>
      <c r="E3" s="5">
        <v>14.9</v>
      </c>
      <c r="F3" s="5"/>
      <c r="G3" s="94">
        <f>G4+G5+G6+G7+G8</f>
        <v>1328281.6999999997</v>
      </c>
      <c r="H3" s="59">
        <f>G3/D3*100</f>
        <v>87.478205225708976</v>
      </c>
      <c r="I3" s="88">
        <f>I4+I5+I6+I7+I8</f>
        <v>1609680.07</v>
      </c>
      <c r="J3" s="88">
        <f>J4+J5+J6+J7+J8</f>
        <v>25000</v>
      </c>
      <c r="K3" s="88">
        <f>K4+K5+K6+K7+K8</f>
        <v>1636789.58</v>
      </c>
      <c r="L3" s="87">
        <f>(K3-G3)/G3*100</f>
        <v>23.226088261247625</v>
      </c>
      <c r="M3" s="87">
        <f>(K3-D3)/D3*100</f>
        <v>7.7959703807874829</v>
      </c>
      <c r="N3" s="38"/>
    </row>
    <row r="4" spans="1:17" ht="15.75" customHeight="1" x14ac:dyDescent="0.25">
      <c r="A4" s="6">
        <v>41</v>
      </c>
      <c r="B4" s="1" t="s">
        <v>3</v>
      </c>
      <c r="C4" s="56">
        <f>C13</f>
        <v>7625</v>
      </c>
      <c r="D4" s="54">
        <f>D13</f>
        <v>10000</v>
      </c>
      <c r="E4" s="9">
        <v>0</v>
      </c>
      <c r="F4" s="9"/>
      <c r="G4" s="7">
        <f>G13</f>
        <v>8410</v>
      </c>
      <c r="H4" s="59">
        <f t="shared" ref="H4:H77" si="0">G4/D4*100</f>
        <v>84.1</v>
      </c>
      <c r="I4" s="56">
        <f>I13</f>
        <v>15000</v>
      </c>
      <c r="J4" s="56">
        <v>0</v>
      </c>
      <c r="K4" s="56">
        <f>K13</f>
        <v>15000</v>
      </c>
      <c r="L4" s="87">
        <f t="shared" ref="L4:L67" si="1">(K4-G4)/G4*100</f>
        <v>78.359096313912019</v>
      </c>
      <c r="M4" s="87">
        <f t="shared" ref="M4:M67" si="2">(K4-D4)/D4*100</f>
        <v>50</v>
      </c>
    </row>
    <row r="5" spans="1:17" ht="15.75" customHeight="1" x14ac:dyDescent="0.25">
      <c r="A5" s="6">
        <v>45</v>
      </c>
      <c r="B5" s="1" t="s">
        <v>4</v>
      </c>
      <c r="C5" s="56">
        <f>C20</f>
        <v>36011</v>
      </c>
      <c r="D5" s="54">
        <f>D20</f>
        <v>45000</v>
      </c>
      <c r="E5" s="9">
        <v>-1.34</v>
      </c>
      <c r="F5" s="9"/>
      <c r="G5" s="7">
        <f>G20</f>
        <v>37914.699999999997</v>
      </c>
      <c r="H5" s="59">
        <f t="shared" si="0"/>
        <v>84.254888888888885</v>
      </c>
      <c r="I5" s="56">
        <f>I19</f>
        <v>50000</v>
      </c>
      <c r="J5" s="56">
        <v>0</v>
      </c>
      <c r="K5" s="56">
        <f>K19</f>
        <v>50000</v>
      </c>
      <c r="L5" s="87">
        <f t="shared" si="1"/>
        <v>31.874971976568467</v>
      </c>
      <c r="M5" s="87">
        <f t="shared" si="2"/>
        <v>11.111111111111111</v>
      </c>
    </row>
    <row r="6" spans="1:17" ht="15.75" customHeight="1" x14ac:dyDescent="0.25">
      <c r="A6" s="6">
        <v>50</v>
      </c>
      <c r="B6" s="1" t="s">
        <v>5</v>
      </c>
      <c r="C6" s="56">
        <f>C10+C14+C21</f>
        <v>1042870.8</v>
      </c>
      <c r="D6" s="54">
        <f>D10+D14+D21</f>
        <v>1156448.48</v>
      </c>
      <c r="E6" s="9">
        <v>15.85</v>
      </c>
      <c r="F6" s="9"/>
      <c r="G6" s="7">
        <f>G10+G14+G21</f>
        <v>1088107.1599999999</v>
      </c>
      <c r="H6" s="59">
        <f t="shared" si="0"/>
        <v>94.090413781338526</v>
      </c>
      <c r="I6" s="56">
        <f>I10+I14+I21</f>
        <v>1220804.58</v>
      </c>
      <c r="J6" s="56">
        <f>J14</f>
        <v>-5600</v>
      </c>
      <c r="K6" s="56">
        <f>K10+K14+K21</f>
        <v>1215204.58</v>
      </c>
      <c r="L6" s="87">
        <f t="shared" si="1"/>
        <v>11.680597708777155</v>
      </c>
      <c r="M6" s="87">
        <f t="shared" si="2"/>
        <v>5.0807364976605003</v>
      </c>
    </row>
    <row r="7" spans="1:17" ht="15.75" customHeight="1" x14ac:dyDescent="0.25">
      <c r="A7" s="6">
        <v>55</v>
      </c>
      <c r="B7" s="1" t="s">
        <v>6</v>
      </c>
      <c r="C7" s="56">
        <f>C11+C15</f>
        <v>202351.83</v>
      </c>
      <c r="D7" s="54">
        <f>D11+D15+D22</f>
        <v>216388.65</v>
      </c>
      <c r="E7" s="9">
        <v>-0.48</v>
      </c>
      <c r="F7" s="9"/>
      <c r="G7" s="7">
        <f>G11+G15+G22</f>
        <v>187718.65</v>
      </c>
      <c r="H7" s="59">
        <f t="shared" si="0"/>
        <v>86.750691406411562</v>
      </c>
      <c r="I7" s="56">
        <f>I11+I15</f>
        <v>226862</v>
      </c>
      <c r="J7" s="56">
        <f>J11+J15</f>
        <v>30600</v>
      </c>
      <c r="K7" s="56">
        <f>K11+K15</f>
        <v>257462</v>
      </c>
      <c r="L7" s="87">
        <f t="shared" si="1"/>
        <v>37.153127832530231</v>
      </c>
      <c r="M7" s="87">
        <f t="shared" si="2"/>
        <v>18.981286680239471</v>
      </c>
    </row>
    <row r="8" spans="1:17" ht="15.75" customHeight="1" x14ac:dyDescent="0.25">
      <c r="A8" s="6">
        <v>60</v>
      </c>
      <c r="B8" s="1" t="s">
        <v>7</v>
      </c>
      <c r="C8" s="57">
        <f>C16+C18</f>
        <v>80989.539999999994</v>
      </c>
      <c r="D8" s="54">
        <f>D16+D18</f>
        <v>90577.31</v>
      </c>
      <c r="E8" s="9">
        <v>69.69</v>
      </c>
      <c r="F8" s="9"/>
      <c r="G8" s="7">
        <f>G16</f>
        <v>6131.19</v>
      </c>
      <c r="H8" s="59">
        <f t="shared" si="0"/>
        <v>6.7690131226021171</v>
      </c>
      <c r="I8" s="56">
        <f>I18+I16</f>
        <v>97013.49</v>
      </c>
      <c r="J8" s="56"/>
      <c r="K8" s="56">
        <f>K18+K16</f>
        <v>99123</v>
      </c>
      <c r="L8" s="87"/>
      <c r="M8" s="87">
        <f t="shared" si="2"/>
        <v>9.4346917566882951</v>
      </c>
      <c r="O8" s="38"/>
    </row>
    <row r="9" spans="1:17" ht="15.75" customHeight="1" x14ac:dyDescent="0.25">
      <c r="A9" s="10">
        <v>1111</v>
      </c>
      <c r="B9" s="11" t="s">
        <v>8</v>
      </c>
      <c r="C9" s="141">
        <f>C10+C11</f>
        <v>63605.8</v>
      </c>
      <c r="D9" s="92">
        <f>D10+D11</f>
        <v>63605.8</v>
      </c>
      <c r="E9" s="13">
        <v>0</v>
      </c>
      <c r="F9" s="13"/>
      <c r="G9" s="94">
        <f>G10+G11</f>
        <v>50218.02</v>
      </c>
      <c r="H9" s="59">
        <f t="shared" si="0"/>
        <v>78.951950922714587</v>
      </c>
      <c r="I9" s="88">
        <f>I10+I11</f>
        <v>63765.8</v>
      </c>
      <c r="J9" s="88">
        <f>J10+J11</f>
        <v>3600</v>
      </c>
      <c r="K9" s="88">
        <f>K10+K11</f>
        <v>67365.8</v>
      </c>
      <c r="L9" s="87">
        <f t="shared" si="1"/>
        <v>34.146666873763657</v>
      </c>
      <c r="M9" s="87">
        <f t="shared" si="2"/>
        <v>5.9114105946313069</v>
      </c>
    </row>
    <row r="10" spans="1:17" ht="15.75" customHeight="1" x14ac:dyDescent="0.25">
      <c r="A10" s="14">
        <v>50</v>
      </c>
      <c r="B10" s="15" t="s">
        <v>5</v>
      </c>
      <c r="C10" s="17">
        <v>59005.8</v>
      </c>
      <c r="D10" s="16">
        <v>59005.8</v>
      </c>
      <c r="E10" s="18">
        <v>0</v>
      </c>
      <c r="F10" s="18"/>
      <c r="G10" s="16">
        <v>47316.88</v>
      </c>
      <c r="H10" s="59">
        <f t="shared" si="0"/>
        <v>80.190218588681105</v>
      </c>
      <c r="I10" s="74">
        <v>59005.8</v>
      </c>
      <c r="J10" s="74"/>
      <c r="K10" s="74">
        <v>59005.8</v>
      </c>
      <c r="L10" s="87">
        <f t="shared" si="1"/>
        <v>24.703488480221026</v>
      </c>
      <c r="M10" s="87">
        <f t="shared" si="2"/>
        <v>0</v>
      </c>
    </row>
    <row r="11" spans="1:17" ht="15.75" customHeight="1" x14ac:dyDescent="0.25">
      <c r="A11" s="14">
        <v>55</v>
      </c>
      <c r="B11" s="15" t="s">
        <v>6</v>
      </c>
      <c r="C11" s="17">
        <v>4600</v>
      </c>
      <c r="D11" s="16">
        <v>4600</v>
      </c>
      <c r="E11" s="18">
        <v>0</v>
      </c>
      <c r="F11" s="18"/>
      <c r="G11" s="16">
        <v>2901.14</v>
      </c>
      <c r="H11" s="59">
        <f t="shared" si="0"/>
        <v>63.068260869565215</v>
      </c>
      <c r="I11" s="74">
        <f>4760</f>
        <v>4760</v>
      </c>
      <c r="J11" s="74">
        <v>3600</v>
      </c>
      <c r="K11" s="74">
        <f>4760+3600</f>
        <v>8360</v>
      </c>
      <c r="L11" s="87">
        <f t="shared" si="1"/>
        <v>188.16258436338822</v>
      </c>
      <c r="M11" s="87">
        <f t="shared" si="2"/>
        <v>81.739130434782609</v>
      </c>
    </row>
    <row r="12" spans="1:17" ht="15.75" customHeight="1" x14ac:dyDescent="0.25">
      <c r="A12" s="10">
        <v>1112</v>
      </c>
      <c r="B12" s="11" t="s">
        <v>9</v>
      </c>
      <c r="C12" s="92">
        <f>C13+C14+C15+C16</f>
        <v>1178729.83</v>
      </c>
      <c r="D12" s="92">
        <f>D13+D14+D15+D16</f>
        <v>1310866.2499999998</v>
      </c>
      <c r="E12" s="13">
        <v>13.51</v>
      </c>
      <c r="F12" s="58"/>
      <c r="G12" s="92">
        <f>G13+G14+G15+G16</f>
        <v>1227838.26</v>
      </c>
      <c r="H12" s="59">
        <f t="shared" si="0"/>
        <v>93.666173799195775</v>
      </c>
      <c r="I12" s="88">
        <f>I13+I14+I15+I16</f>
        <v>1399400.78</v>
      </c>
      <c r="J12" s="88">
        <f>J13+J14+J15+J16</f>
        <v>21400</v>
      </c>
      <c r="K12" s="88">
        <f>K13+K14+K15+K16</f>
        <v>1420800.78</v>
      </c>
      <c r="L12" s="87">
        <f t="shared" si="1"/>
        <v>15.715630167771447</v>
      </c>
      <c r="M12" s="87">
        <f t="shared" si="2"/>
        <v>8.3864032657794247</v>
      </c>
    </row>
    <row r="13" spans="1:17" ht="15.75" customHeight="1" x14ac:dyDescent="0.25">
      <c r="A13" s="14">
        <v>41</v>
      </c>
      <c r="B13" s="15" t="s">
        <v>10</v>
      </c>
      <c r="C13" s="17">
        <v>7625</v>
      </c>
      <c r="D13" s="16">
        <v>10000</v>
      </c>
      <c r="E13" s="18">
        <v>0</v>
      </c>
      <c r="F13" s="18"/>
      <c r="G13" s="16">
        <v>8410</v>
      </c>
      <c r="H13" s="59">
        <f t="shared" si="0"/>
        <v>84.1</v>
      </c>
      <c r="I13" s="74">
        <v>15000</v>
      </c>
      <c r="J13" s="74"/>
      <c r="K13" s="74">
        <v>15000</v>
      </c>
      <c r="L13" s="87">
        <f>(K13-G13)/G13*100</f>
        <v>78.359096313912019</v>
      </c>
      <c r="M13" s="87">
        <f t="shared" si="2"/>
        <v>50</v>
      </c>
      <c r="N13" s="49"/>
    </row>
    <row r="14" spans="1:17" ht="18.600000000000001" customHeight="1" x14ac:dyDescent="0.25">
      <c r="A14" s="14">
        <v>50</v>
      </c>
      <c r="B14" s="15" t="s">
        <v>5</v>
      </c>
      <c r="C14" s="17">
        <v>973253</v>
      </c>
      <c r="D14" s="16">
        <v>1083352.68</v>
      </c>
      <c r="E14" s="18">
        <v>18.27</v>
      </c>
      <c r="F14" s="18"/>
      <c r="G14" s="46">
        <v>1029388.86</v>
      </c>
      <c r="H14" s="59">
        <f t="shared" si="0"/>
        <v>95.018813264024047</v>
      </c>
      <c r="I14" s="77">
        <v>1161798.78</v>
      </c>
      <c r="J14" s="77">
        <v>-5600</v>
      </c>
      <c r="K14" s="77">
        <f>1161798.78-3600-2000</f>
        <v>1156198.78</v>
      </c>
      <c r="L14" s="87">
        <f t="shared" si="1"/>
        <v>12.318952043059806</v>
      </c>
      <c r="M14" s="87">
        <f t="shared" si="2"/>
        <v>6.7241353019037247</v>
      </c>
      <c r="N14" s="144"/>
      <c r="Q14" s="49"/>
    </row>
    <row r="15" spans="1:17" ht="15.75" customHeight="1" x14ac:dyDescent="0.25">
      <c r="A15" s="14">
        <v>55</v>
      </c>
      <c r="B15" s="52" t="s">
        <v>84</v>
      </c>
      <c r="C15" s="17">
        <v>197751.83</v>
      </c>
      <c r="D15" s="16">
        <v>210878.65</v>
      </c>
      <c r="E15" s="18">
        <v>-0.49</v>
      </c>
      <c r="F15" s="18"/>
      <c r="G15" s="16">
        <v>183908.21</v>
      </c>
      <c r="H15" s="59">
        <f t="shared" si="0"/>
        <v>87.210445438644442</v>
      </c>
      <c r="I15" s="74">
        <v>222102</v>
      </c>
      <c r="J15" s="74">
        <v>27000</v>
      </c>
      <c r="K15" s="74">
        <f>215606+6496+25000+2000</f>
        <v>249102</v>
      </c>
      <c r="L15" s="87">
        <f t="shared" si="1"/>
        <v>35.449091696341348</v>
      </c>
      <c r="M15" s="87">
        <f t="shared" si="2"/>
        <v>18.125756210977265</v>
      </c>
      <c r="N15" s="49"/>
    </row>
    <row r="16" spans="1:17" ht="15.75" customHeight="1" x14ac:dyDescent="0.25">
      <c r="A16" s="14">
        <v>60</v>
      </c>
      <c r="B16" s="15" t="s">
        <v>7</v>
      </c>
      <c r="C16" s="17">
        <v>100</v>
      </c>
      <c r="D16" s="18">
        <f>6500+134.92</f>
        <v>6634.92</v>
      </c>
      <c r="E16" s="18">
        <v>-100</v>
      </c>
      <c r="F16" s="18"/>
      <c r="G16" s="18">
        <v>6131.19</v>
      </c>
      <c r="H16" s="59">
        <f t="shared" si="0"/>
        <v>92.407896402669508</v>
      </c>
      <c r="I16" s="75">
        <v>500</v>
      </c>
      <c r="J16" s="75"/>
      <c r="K16" s="75">
        <v>500</v>
      </c>
      <c r="L16" s="87">
        <f t="shared" si="1"/>
        <v>-91.8449762607259</v>
      </c>
      <c r="M16" s="87">
        <f t="shared" si="2"/>
        <v>-92.464114111398473</v>
      </c>
      <c r="N16" s="49"/>
      <c r="O16" s="49"/>
    </row>
    <row r="17" spans="1:15" ht="15.75" customHeight="1" x14ac:dyDescent="0.25">
      <c r="A17" s="10">
        <v>1114</v>
      </c>
      <c r="B17" s="11" t="s">
        <v>11</v>
      </c>
      <c r="C17" s="92">
        <f>C18</f>
        <v>80889.539999999994</v>
      </c>
      <c r="D17" s="92">
        <f>D18</f>
        <v>83942.39</v>
      </c>
      <c r="E17" s="13">
        <v>116.47</v>
      </c>
      <c r="F17" s="58"/>
      <c r="G17" s="92">
        <f>G18</f>
        <v>0</v>
      </c>
      <c r="H17" s="59">
        <f t="shared" si="0"/>
        <v>0</v>
      </c>
      <c r="I17" s="88">
        <f>I18</f>
        <v>96513.49</v>
      </c>
      <c r="J17" s="88"/>
      <c r="K17" s="88">
        <f>K18</f>
        <v>98623</v>
      </c>
      <c r="L17" s="87"/>
      <c r="M17" s="87">
        <f t="shared" si="2"/>
        <v>17.488911144893539</v>
      </c>
    </row>
    <row r="18" spans="1:15" ht="15.75" customHeight="1" x14ac:dyDescent="0.25">
      <c r="A18" s="14">
        <v>60</v>
      </c>
      <c r="B18" s="15" t="s">
        <v>7</v>
      </c>
      <c r="C18" s="17">
        <v>80889.539999999994</v>
      </c>
      <c r="D18" s="16">
        <f>84077.31-134.92</f>
        <v>83942.39</v>
      </c>
      <c r="E18" s="18">
        <v>116.47</v>
      </c>
      <c r="F18" s="18"/>
      <c r="G18" s="16"/>
      <c r="H18" s="59">
        <f t="shared" si="0"/>
        <v>0</v>
      </c>
      <c r="I18" s="74">
        <v>96513.49</v>
      </c>
      <c r="J18" s="74"/>
      <c r="K18" s="74">
        <v>98623</v>
      </c>
      <c r="L18" s="87"/>
      <c r="M18" s="87">
        <f t="shared" si="2"/>
        <v>17.488911144893539</v>
      </c>
    </row>
    <row r="19" spans="1:15" ht="15.75" customHeight="1" x14ac:dyDescent="0.25">
      <c r="A19" s="10">
        <v>1600</v>
      </c>
      <c r="B19" s="11" t="s">
        <v>12</v>
      </c>
      <c r="C19" s="92">
        <f>C20+C21</f>
        <v>46623</v>
      </c>
      <c r="D19" s="92">
        <f>D20+D21+D22</f>
        <v>60000</v>
      </c>
      <c r="E19" s="13">
        <v>-23.96</v>
      </c>
      <c r="F19" s="58"/>
      <c r="G19" s="92">
        <f>G20+G21+G22</f>
        <v>50225.42</v>
      </c>
      <c r="H19" s="59">
        <f t="shared" si="0"/>
        <v>83.709033333333323</v>
      </c>
      <c r="I19" s="88">
        <f>I20+I21</f>
        <v>50000</v>
      </c>
      <c r="J19" s="88"/>
      <c r="K19" s="88">
        <f>K20+K21</f>
        <v>50000</v>
      </c>
      <c r="L19" s="87">
        <f t="shared" si="1"/>
        <v>-0.44881655544144428</v>
      </c>
      <c r="M19" s="87">
        <f t="shared" si="2"/>
        <v>-16.666666666666664</v>
      </c>
    </row>
    <row r="20" spans="1:15" ht="15.75" customHeight="1" x14ac:dyDescent="0.25">
      <c r="A20" s="14">
        <v>45</v>
      </c>
      <c r="B20" s="15" t="s">
        <v>4</v>
      </c>
      <c r="C20" s="17">
        <v>36011</v>
      </c>
      <c r="D20" s="16">
        <v>45000</v>
      </c>
      <c r="E20" s="18">
        <v>-1.34</v>
      </c>
      <c r="F20" s="18"/>
      <c r="G20" s="16">
        <v>37914.699999999997</v>
      </c>
      <c r="H20" s="59">
        <f t="shared" si="0"/>
        <v>84.254888888888885</v>
      </c>
      <c r="I20" s="74">
        <v>50000</v>
      </c>
      <c r="J20" s="74"/>
      <c r="K20" s="74">
        <v>50000</v>
      </c>
      <c r="L20" s="87">
        <f t="shared" si="1"/>
        <v>31.874971976568467</v>
      </c>
      <c r="M20" s="87">
        <f t="shared" si="2"/>
        <v>11.111111111111111</v>
      </c>
      <c r="N20" s="49"/>
      <c r="O20" s="49"/>
    </row>
    <row r="21" spans="1:15" ht="15.75" customHeight="1" x14ac:dyDescent="0.25">
      <c r="A21" s="14">
        <v>50</v>
      </c>
      <c r="B21" s="15" t="s">
        <v>5</v>
      </c>
      <c r="C21" s="17">
        <v>10612</v>
      </c>
      <c r="D21" s="18">
        <v>14090</v>
      </c>
      <c r="E21" s="18">
        <v>-100</v>
      </c>
      <c r="F21" s="18"/>
      <c r="G21" s="16">
        <v>11401.42</v>
      </c>
      <c r="H21" s="59">
        <f t="shared" si="0"/>
        <v>80.918523775727465</v>
      </c>
      <c r="I21" s="75">
        <v>0</v>
      </c>
      <c r="J21" s="75"/>
      <c r="K21" s="75">
        <v>0</v>
      </c>
      <c r="L21" s="87"/>
      <c r="M21" s="87"/>
    </row>
    <row r="22" spans="1:15" ht="15.75" customHeight="1" x14ac:dyDescent="0.25">
      <c r="A22" s="14">
        <v>55</v>
      </c>
      <c r="B22" s="15" t="s">
        <v>84</v>
      </c>
      <c r="C22" s="17">
        <v>0</v>
      </c>
      <c r="D22" s="18">
        <v>910</v>
      </c>
      <c r="E22" s="18"/>
      <c r="F22" s="18"/>
      <c r="G22" s="16">
        <v>909.3</v>
      </c>
      <c r="H22" s="59">
        <f t="shared" si="0"/>
        <v>99.92307692307692</v>
      </c>
      <c r="I22" s="75">
        <v>0</v>
      </c>
      <c r="J22" s="75"/>
      <c r="K22" s="75">
        <v>0</v>
      </c>
      <c r="L22" s="87"/>
      <c r="M22" s="87"/>
    </row>
    <row r="23" spans="1:15" ht="15.75" customHeight="1" x14ac:dyDescent="0.25">
      <c r="A23" s="2">
        <v>3</v>
      </c>
      <c r="B23" s="3" t="s">
        <v>13</v>
      </c>
      <c r="C23" s="92">
        <f>C24+C25</f>
        <v>43582</v>
      </c>
      <c r="D23" s="94">
        <f>D24+D25</f>
        <v>29003</v>
      </c>
      <c r="E23" s="5">
        <v>-50.34</v>
      </c>
      <c r="F23" s="5"/>
      <c r="G23" s="94">
        <f>G24+G25</f>
        <v>21670.629999999997</v>
      </c>
      <c r="H23" s="59">
        <f t="shared" si="0"/>
        <v>74.718580836465193</v>
      </c>
      <c r="I23" s="88">
        <f>I24+I25</f>
        <v>27890</v>
      </c>
      <c r="J23" s="88">
        <v>0</v>
      </c>
      <c r="K23" s="88">
        <f>K24+K25</f>
        <v>27890</v>
      </c>
      <c r="L23" s="87">
        <f t="shared" si="1"/>
        <v>28.699534808171261</v>
      </c>
      <c r="M23" s="87">
        <f t="shared" si="2"/>
        <v>-3.8375340482019098</v>
      </c>
    </row>
    <row r="24" spans="1:15" ht="15.75" customHeight="1" x14ac:dyDescent="0.25">
      <c r="A24" s="6">
        <v>41</v>
      </c>
      <c r="B24" s="1" t="s">
        <v>10</v>
      </c>
      <c r="C24" s="8">
        <f>C27</f>
        <v>16132</v>
      </c>
      <c r="D24" s="8">
        <v>0</v>
      </c>
      <c r="E24" s="9">
        <v>-100</v>
      </c>
      <c r="F24" s="32"/>
      <c r="G24" s="8">
        <f>G27</f>
        <v>0</v>
      </c>
      <c r="H24" s="59"/>
      <c r="I24" s="56">
        <f>I27</f>
        <v>0</v>
      </c>
      <c r="J24" s="56">
        <v>0</v>
      </c>
      <c r="K24" s="56">
        <f>K27</f>
        <v>0</v>
      </c>
      <c r="L24" s="87"/>
      <c r="M24" s="87"/>
    </row>
    <row r="25" spans="1:15" ht="15.75" customHeight="1" x14ac:dyDescent="0.25">
      <c r="A25" s="6">
        <v>55</v>
      </c>
      <c r="B25" s="1" t="s">
        <v>6</v>
      </c>
      <c r="C25" s="8">
        <f>C28+C30</f>
        <v>27450</v>
      </c>
      <c r="D25" s="7">
        <f>D28+D30</f>
        <v>29003</v>
      </c>
      <c r="E25" s="9">
        <v>-42.99</v>
      </c>
      <c r="F25" s="9"/>
      <c r="G25" s="7">
        <f>G28+G30</f>
        <v>21670.629999999997</v>
      </c>
      <c r="H25" s="59">
        <f t="shared" si="0"/>
        <v>74.718580836465193</v>
      </c>
      <c r="I25" s="56">
        <f>I28+I30</f>
        <v>27890</v>
      </c>
      <c r="J25" s="56">
        <v>0</v>
      </c>
      <c r="K25" s="56">
        <f>K28+K30</f>
        <v>27890</v>
      </c>
      <c r="L25" s="87">
        <f t="shared" si="1"/>
        <v>28.699534808171261</v>
      </c>
      <c r="M25" s="87">
        <f t="shared" si="2"/>
        <v>-3.8375340482019098</v>
      </c>
    </row>
    <row r="26" spans="1:15" ht="15.75" customHeight="1" x14ac:dyDescent="0.25">
      <c r="A26" s="10">
        <v>3200</v>
      </c>
      <c r="B26" s="11" t="s">
        <v>14</v>
      </c>
      <c r="C26" s="92">
        <f>C28+C27</f>
        <v>35632</v>
      </c>
      <c r="D26" s="92">
        <f>D28+D27</f>
        <v>24288</v>
      </c>
      <c r="E26" s="13">
        <v>-52.98</v>
      </c>
      <c r="F26" s="58"/>
      <c r="G26" s="92">
        <f>G28+G27</f>
        <v>18410.28</v>
      </c>
      <c r="H26" s="59">
        <f t="shared" si="0"/>
        <v>75.79990118577075</v>
      </c>
      <c r="I26" s="88">
        <f>I28+I27</f>
        <v>23100</v>
      </c>
      <c r="J26" s="88">
        <v>0</v>
      </c>
      <c r="K26" s="88">
        <f>K28+K27</f>
        <v>23100</v>
      </c>
      <c r="L26" s="87">
        <f t="shared" si="1"/>
        <v>25.473376830770643</v>
      </c>
      <c r="M26" s="87">
        <f t="shared" si="2"/>
        <v>-4.8913043478260869</v>
      </c>
    </row>
    <row r="27" spans="1:15" ht="15.75" customHeight="1" x14ac:dyDescent="0.25">
      <c r="A27" s="14">
        <v>41</v>
      </c>
      <c r="B27" s="15" t="s">
        <v>10</v>
      </c>
      <c r="C27" s="17">
        <v>16132</v>
      </c>
      <c r="D27" s="18">
        <v>0</v>
      </c>
      <c r="E27" s="18">
        <v>-100</v>
      </c>
      <c r="F27" s="18"/>
      <c r="G27" s="97">
        <v>0</v>
      </c>
      <c r="H27" s="59"/>
      <c r="I27" s="76">
        <v>0</v>
      </c>
      <c r="J27" s="76"/>
      <c r="K27" s="76">
        <v>0</v>
      </c>
      <c r="L27" s="87"/>
      <c r="M27" s="87"/>
    </row>
    <row r="28" spans="1:15" ht="15.75" customHeight="1" x14ac:dyDescent="0.25">
      <c r="A28" s="14">
        <v>55</v>
      </c>
      <c r="B28" s="15" t="s">
        <v>6</v>
      </c>
      <c r="C28" s="17">
        <v>19500</v>
      </c>
      <c r="D28" s="16">
        <v>24288</v>
      </c>
      <c r="E28" s="18">
        <v>-45.59</v>
      </c>
      <c r="F28" s="18"/>
      <c r="G28" s="16">
        <v>18410.28</v>
      </c>
      <c r="H28" s="59">
        <f t="shared" si="0"/>
        <v>75.79990118577075</v>
      </c>
      <c r="I28" s="74">
        <v>23100</v>
      </c>
      <c r="J28" s="74"/>
      <c r="K28" s="74">
        <v>23100</v>
      </c>
      <c r="L28" s="87">
        <f t="shared" si="1"/>
        <v>25.473376830770643</v>
      </c>
      <c r="M28" s="87">
        <f t="shared" si="2"/>
        <v>-4.8913043478260869</v>
      </c>
      <c r="N28" s="49"/>
    </row>
    <row r="29" spans="1:15" ht="15.75" customHeight="1" x14ac:dyDescent="0.25">
      <c r="A29" s="10">
        <v>3600</v>
      </c>
      <c r="B29" s="21" t="s">
        <v>15</v>
      </c>
      <c r="C29" s="92">
        <f>C30</f>
        <v>7950</v>
      </c>
      <c r="D29" s="92">
        <f>D30</f>
        <v>4715</v>
      </c>
      <c r="E29" s="13">
        <v>0</v>
      </c>
      <c r="F29" s="58"/>
      <c r="G29" s="92">
        <f>G30</f>
        <v>3260.35</v>
      </c>
      <c r="H29" s="59">
        <f t="shared" si="0"/>
        <v>69.148462354188752</v>
      </c>
      <c r="I29" s="88">
        <f>I30</f>
        <v>4790</v>
      </c>
      <c r="J29" s="88">
        <v>0</v>
      </c>
      <c r="K29" s="88">
        <f>K30</f>
        <v>4790</v>
      </c>
      <c r="L29" s="87">
        <f t="shared" si="1"/>
        <v>46.916742067569437</v>
      </c>
      <c r="M29" s="87">
        <f t="shared" si="2"/>
        <v>1.5906680805938493</v>
      </c>
    </row>
    <row r="30" spans="1:15" ht="15.75" customHeight="1" x14ac:dyDescent="0.25">
      <c r="A30" s="14">
        <v>55</v>
      </c>
      <c r="B30" s="15" t="s">
        <v>6</v>
      </c>
      <c r="C30" s="17">
        <v>7950</v>
      </c>
      <c r="D30" s="16">
        <v>4715</v>
      </c>
      <c r="E30" s="18">
        <v>0</v>
      </c>
      <c r="F30" s="18"/>
      <c r="G30" s="16">
        <v>3260.35</v>
      </c>
      <c r="H30" s="59">
        <f t="shared" si="0"/>
        <v>69.148462354188752</v>
      </c>
      <c r="I30" s="74">
        <v>4790</v>
      </c>
      <c r="J30" s="74"/>
      <c r="K30" s="74">
        <v>4790</v>
      </c>
      <c r="L30" s="87">
        <f t="shared" si="1"/>
        <v>46.916742067569437</v>
      </c>
      <c r="M30" s="87">
        <f t="shared" si="2"/>
        <v>1.5906680805938493</v>
      </c>
      <c r="N30" s="49"/>
      <c r="O30" s="49"/>
    </row>
    <row r="31" spans="1:15" ht="15.75" customHeight="1" x14ac:dyDescent="0.25">
      <c r="A31" s="2">
        <v>4</v>
      </c>
      <c r="B31" s="3" t="s">
        <v>16</v>
      </c>
      <c r="C31" s="92">
        <f>C33+C35+C37+C39</f>
        <v>239860</v>
      </c>
      <c r="D31" s="92">
        <f>D33+D35+D37+D39</f>
        <v>249833</v>
      </c>
      <c r="E31" s="5">
        <v>3.28</v>
      </c>
      <c r="F31" s="59"/>
      <c r="G31" s="92">
        <f>G33+G35+G37+G39</f>
        <v>248652.19</v>
      </c>
      <c r="H31" s="59">
        <f t="shared" si="0"/>
        <v>99.527360276664808</v>
      </c>
      <c r="I31" s="88">
        <f>I33+I35+I37+I39</f>
        <v>282337</v>
      </c>
      <c r="J31" s="88">
        <v>0</v>
      </c>
      <c r="K31" s="88">
        <f>K33+K35+K37+K39</f>
        <v>282337</v>
      </c>
      <c r="L31" s="87">
        <f t="shared" si="1"/>
        <v>13.546958906736354</v>
      </c>
      <c r="M31" s="87">
        <f t="shared" si="2"/>
        <v>13.010290874304035</v>
      </c>
    </row>
    <row r="32" spans="1:15" ht="15.75" customHeight="1" x14ac:dyDescent="0.25">
      <c r="A32" s="6">
        <v>55</v>
      </c>
      <c r="B32" s="1" t="s">
        <v>6</v>
      </c>
      <c r="C32" s="8">
        <f>C33+C35+C37+C39</f>
        <v>239860</v>
      </c>
      <c r="D32" s="8">
        <f>D33+D35+D37+D39</f>
        <v>249833</v>
      </c>
      <c r="E32" s="9">
        <v>3.28</v>
      </c>
      <c r="F32" s="32"/>
      <c r="G32" s="8">
        <f>G33+G35+G37+G39</f>
        <v>248652.19</v>
      </c>
      <c r="H32" s="59">
        <f t="shared" si="0"/>
        <v>99.527360276664808</v>
      </c>
      <c r="I32" s="56">
        <f>I33+I35+I37+I39</f>
        <v>282337</v>
      </c>
      <c r="J32" s="56">
        <v>0</v>
      </c>
      <c r="K32" s="56">
        <f>K33+K35+K37+K39</f>
        <v>282337</v>
      </c>
      <c r="L32" s="87">
        <f t="shared" si="1"/>
        <v>13.546958906736354</v>
      </c>
      <c r="M32" s="87">
        <f t="shared" si="2"/>
        <v>13.010290874304035</v>
      </c>
    </row>
    <row r="33" spans="1:14" ht="15.75" customHeight="1" x14ac:dyDescent="0.25">
      <c r="A33" s="10">
        <v>4210</v>
      </c>
      <c r="B33" s="21" t="s">
        <v>17</v>
      </c>
      <c r="C33" s="92">
        <f>C34</f>
        <v>29900</v>
      </c>
      <c r="D33" s="92">
        <f>D34</f>
        <v>34525</v>
      </c>
      <c r="E33" s="13">
        <v>-19.13</v>
      </c>
      <c r="F33" s="58"/>
      <c r="G33" s="92">
        <f>G34</f>
        <v>25362.71</v>
      </c>
      <c r="H33" s="59">
        <f t="shared" si="0"/>
        <v>73.461868211440986</v>
      </c>
      <c r="I33" s="88">
        <f>I34</f>
        <v>53761</v>
      </c>
      <c r="J33" s="88">
        <v>0</v>
      </c>
      <c r="K33" s="88">
        <f>K34</f>
        <v>53761</v>
      </c>
      <c r="L33" s="87">
        <f t="shared" si="1"/>
        <v>111.9686736945697</v>
      </c>
      <c r="M33" s="87">
        <f t="shared" si="2"/>
        <v>55.716147719044173</v>
      </c>
    </row>
    <row r="34" spans="1:14" ht="15.75" customHeight="1" x14ac:dyDescent="0.25">
      <c r="A34" s="14">
        <v>55</v>
      </c>
      <c r="B34" s="15" t="s">
        <v>6</v>
      </c>
      <c r="C34" s="17">
        <v>29900</v>
      </c>
      <c r="D34" s="16">
        <v>34525</v>
      </c>
      <c r="E34" s="18">
        <v>-19.13</v>
      </c>
      <c r="F34" s="18"/>
      <c r="G34" s="16">
        <v>25362.71</v>
      </c>
      <c r="H34" s="59">
        <f t="shared" si="0"/>
        <v>73.461868211440986</v>
      </c>
      <c r="I34" s="74">
        <f>48000+5761</f>
        <v>53761</v>
      </c>
      <c r="J34" s="74"/>
      <c r="K34" s="74">
        <f>48000+5761</f>
        <v>53761</v>
      </c>
      <c r="L34" s="87">
        <f t="shared" si="1"/>
        <v>111.9686736945697</v>
      </c>
      <c r="M34" s="87">
        <f t="shared" si="2"/>
        <v>55.716147719044173</v>
      </c>
      <c r="N34" s="154"/>
    </row>
    <row r="35" spans="1:14" ht="15.75" customHeight="1" x14ac:dyDescent="0.25">
      <c r="A35" s="10">
        <v>4510</v>
      </c>
      <c r="B35" s="21" t="s">
        <v>18</v>
      </c>
      <c r="C35" s="92">
        <f>C36</f>
        <v>135000</v>
      </c>
      <c r="D35" s="92">
        <f>D36</f>
        <v>141750</v>
      </c>
      <c r="E35" s="13">
        <v>8.23</v>
      </c>
      <c r="F35" s="58"/>
      <c r="G35" s="92">
        <f>G36</f>
        <v>136493.5</v>
      </c>
      <c r="H35" s="59">
        <f t="shared" si="0"/>
        <v>96.29171075837742</v>
      </c>
      <c r="I35" s="88">
        <f>I36</f>
        <v>149676</v>
      </c>
      <c r="J35" s="88">
        <v>0</v>
      </c>
      <c r="K35" s="88">
        <f>K36</f>
        <v>149676</v>
      </c>
      <c r="L35" s="87">
        <f t="shared" si="1"/>
        <v>9.6579690607977664</v>
      </c>
      <c r="M35" s="87">
        <f t="shared" si="2"/>
        <v>5.5915343915343918</v>
      </c>
    </row>
    <row r="36" spans="1:14" ht="15.75" customHeight="1" x14ac:dyDescent="0.25">
      <c r="A36" s="14">
        <v>55</v>
      </c>
      <c r="B36" s="15" t="s">
        <v>6</v>
      </c>
      <c r="C36" s="17">
        <v>135000</v>
      </c>
      <c r="D36" s="16">
        <v>141750</v>
      </c>
      <c r="E36" s="18">
        <v>8.23</v>
      </c>
      <c r="F36" s="18"/>
      <c r="G36" s="16">
        <v>136493.5</v>
      </c>
      <c r="H36" s="59">
        <f t="shared" si="0"/>
        <v>96.29171075837742</v>
      </c>
      <c r="I36" s="74">
        <f>146700+2976</f>
        <v>149676</v>
      </c>
      <c r="J36" s="74"/>
      <c r="K36" s="74">
        <f>146700+2976</f>
        <v>149676</v>
      </c>
      <c r="L36" s="87">
        <f t="shared" si="1"/>
        <v>9.6579690607977664</v>
      </c>
      <c r="M36" s="87">
        <f t="shared" si="2"/>
        <v>5.5915343915343918</v>
      </c>
      <c r="N36" s="49"/>
    </row>
    <row r="37" spans="1:14" ht="15.75" customHeight="1" x14ac:dyDescent="0.25">
      <c r="A37" s="10">
        <v>4740</v>
      </c>
      <c r="B37" s="11" t="s">
        <v>19</v>
      </c>
      <c r="C37" s="92">
        <f>C38</f>
        <v>10000</v>
      </c>
      <c r="D37" s="92">
        <f>D38</f>
        <v>0</v>
      </c>
      <c r="E37" s="13">
        <v>0</v>
      </c>
      <c r="F37" s="58"/>
      <c r="G37" s="92">
        <f>G38</f>
        <v>0</v>
      </c>
      <c r="H37" s="59"/>
      <c r="I37" s="88">
        <f>I38</f>
        <v>10000</v>
      </c>
      <c r="J37" s="88">
        <v>0</v>
      </c>
      <c r="K37" s="88">
        <f>K38</f>
        <v>10000</v>
      </c>
      <c r="L37" s="87"/>
      <c r="M37" s="87"/>
    </row>
    <row r="38" spans="1:14" ht="15.75" customHeight="1" x14ac:dyDescent="0.25">
      <c r="A38" s="14">
        <v>55</v>
      </c>
      <c r="B38" s="15" t="s">
        <v>6</v>
      </c>
      <c r="C38" s="17">
        <v>10000</v>
      </c>
      <c r="D38" s="16">
        <v>0</v>
      </c>
      <c r="E38" s="18">
        <v>0</v>
      </c>
      <c r="F38" s="18"/>
      <c r="G38" s="16">
        <v>0</v>
      </c>
      <c r="H38" s="59"/>
      <c r="I38" s="74">
        <v>10000</v>
      </c>
      <c r="J38" s="74"/>
      <c r="K38" s="74">
        <v>10000</v>
      </c>
      <c r="L38" s="87"/>
      <c r="M38" s="87"/>
    </row>
    <row r="39" spans="1:14" ht="15.75" customHeight="1" x14ac:dyDescent="0.25">
      <c r="A39" s="10">
        <v>4900</v>
      </c>
      <c r="B39" s="21" t="s">
        <v>20</v>
      </c>
      <c r="C39" s="92">
        <f>C40</f>
        <v>64960</v>
      </c>
      <c r="D39" s="92">
        <f>D40</f>
        <v>73558</v>
      </c>
      <c r="E39" s="13">
        <v>-1.68</v>
      </c>
      <c r="F39" s="58"/>
      <c r="G39" s="92">
        <f>G40</f>
        <v>86795.98</v>
      </c>
      <c r="H39" s="59">
        <f t="shared" si="0"/>
        <v>117.99665570026374</v>
      </c>
      <c r="I39" s="88">
        <f>I40</f>
        <v>68900</v>
      </c>
      <c r="J39" s="88">
        <v>0</v>
      </c>
      <c r="K39" s="88">
        <f>K40</f>
        <v>68900</v>
      </c>
      <c r="L39" s="87">
        <f t="shared" si="1"/>
        <v>-20.618443388737585</v>
      </c>
      <c r="M39" s="87">
        <f t="shared" si="2"/>
        <v>-6.3324179558987463</v>
      </c>
    </row>
    <row r="40" spans="1:14" ht="15.75" customHeight="1" x14ac:dyDescent="0.25">
      <c r="A40" s="14">
        <v>55</v>
      </c>
      <c r="B40" s="15" t="s">
        <v>6</v>
      </c>
      <c r="C40" s="17">
        <v>64960</v>
      </c>
      <c r="D40" s="16">
        <v>73558</v>
      </c>
      <c r="E40" s="18">
        <v>-1.68</v>
      </c>
      <c r="F40" s="18"/>
      <c r="G40" s="16">
        <v>86795.98</v>
      </c>
      <c r="H40" s="59">
        <f t="shared" si="0"/>
        <v>117.99665570026374</v>
      </c>
      <c r="I40" s="74">
        <v>68900</v>
      </c>
      <c r="J40" s="74"/>
      <c r="K40" s="74">
        <v>68900</v>
      </c>
      <c r="L40" s="87">
        <f t="shared" si="1"/>
        <v>-20.618443388737585</v>
      </c>
      <c r="M40" s="87">
        <f t="shared" si="2"/>
        <v>-6.3324179558987463</v>
      </c>
    </row>
    <row r="41" spans="1:14" ht="15.75" customHeight="1" x14ac:dyDescent="0.25">
      <c r="A41" s="2">
        <v>5</v>
      </c>
      <c r="B41" s="3" t="s">
        <v>21</v>
      </c>
      <c r="C41" s="92">
        <f>C42+C43</f>
        <v>266619.07</v>
      </c>
      <c r="D41" s="92">
        <f>D42+D43</f>
        <v>290946.24</v>
      </c>
      <c r="E41" s="5">
        <v>1.49</v>
      </c>
      <c r="F41" s="59"/>
      <c r="G41" s="92">
        <f>G42+G43</f>
        <v>240101.87999999998</v>
      </c>
      <c r="H41" s="59">
        <f t="shared" si="0"/>
        <v>82.524482873537039</v>
      </c>
      <c r="I41" s="88">
        <f>I42+I43</f>
        <v>300618.40000000002</v>
      </c>
      <c r="J41" s="88">
        <v>0</v>
      </c>
      <c r="K41" s="88">
        <f>K42+K43</f>
        <v>300618.40000000002</v>
      </c>
      <c r="L41" s="87">
        <f t="shared" si="1"/>
        <v>25.204517349052018</v>
      </c>
      <c r="M41" s="87">
        <f t="shared" si="2"/>
        <v>3.3243804766131477</v>
      </c>
    </row>
    <row r="42" spans="1:14" ht="15.75" customHeight="1" x14ac:dyDescent="0.25">
      <c r="A42" s="6">
        <v>50</v>
      </c>
      <c r="B42" s="1" t="s">
        <v>5</v>
      </c>
      <c r="C42" s="8">
        <f>C47</f>
        <v>34052.800000000003</v>
      </c>
      <c r="D42" s="8">
        <f>D47</f>
        <v>44796.24</v>
      </c>
      <c r="E42" s="9">
        <v>39.9</v>
      </c>
      <c r="F42" s="32"/>
      <c r="G42" s="8">
        <f>G47</f>
        <v>39415.96</v>
      </c>
      <c r="H42" s="59">
        <f t="shared" si="0"/>
        <v>87.989438399294229</v>
      </c>
      <c r="I42" s="56">
        <f>I47</f>
        <v>62618.400000000001</v>
      </c>
      <c r="J42" s="56">
        <v>0</v>
      </c>
      <c r="K42" s="56">
        <f>K47</f>
        <v>62618.400000000001</v>
      </c>
      <c r="L42" s="87">
        <f t="shared" si="1"/>
        <v>58.865596575600343</v>
      </c>
      <c r="M42" s="87">
        <f t="shared" si="2"/>
        <v>39.784946236559151</v>
      </c>
    </row>
    <row r="43" spans="1:14" ht="15.75" customHeight="1" x14ac:dyDescent="0.25">
      <c r="A43" s="6">
        <v>55</v>
      </c>
      <c r="B43" s="1" t="s">
        <v>6</v>
      </c>
      <c r="C43" s="8">
        <f>C45+C48</f>
        <v>232566.27</v>
      </c>
      <c r="D43" s="8">
        <f>D45+D48</f>
        <v>246150</v>
      </c>
      <c r="E43" s="9">
        <v>-1.85</v>
      </c>
      <c r="F43" s="32"/>
      <c r="G43" s="8">
        <f>G45+G48</f>
        <v>200685.91999999998</v>
      </c>
      <c r="H43" s="59">
        <f t="shared" si="0"/>
        <v>81.529928905139144</v>
      </c>
      <c r="I43" s="56">
        <f>I45+I48</f>
        <v>238000</v>
      </c>
      <c r="J43" s="56">
        <v>0</v>
      </c>
      <c r="K43" s="56">
        <f>K45+K48</f>
        <v>238000</v>
      </c>
      <c r="L43" s="87">
        <f t="shared" si="1"/>
        <v>18.593272512590829</v>
      </c>
      <c r="M43" s="87">
        <f t="shared" si="2"/>
        <v>-3.3109892342067848</v>
      </c>
    </row>
    <row r="44" spans="1:14" ht="15.75" customHeight="1" x14ac:dyDescent="0.25">
      <c r="A44" s="10">
        <v>5100</v>
      </c>
      <c r="B44" s="11" t="s">
        <v>22</v>
      </c>
      <c r="C44" s="92">
        <f>C45</f>
        <v>19728.27</v>
      </c>
      <c r="D44" s="92">
        <f>D45</f>
        <v>15500</v>
      </c>
      <c r="E44" s="13">
        <v>-16.29</v>
      </c>
      <c r="F44" s="58"/>
      <c r="G44" s="92">
        <f>G45</f>
        <v>8053.74</v>
      </c>
      <c r="H44" s="59">
        <f t="shared" si="0"/>
        <v>51.959612903225803</v>
      </c>
      <c r="I44" s="88">
        <f>I45</f>
        <v>20500</v>
      </c>
      <c r="J44" s="88">
        <v>0</v>
      </c>
      <c r="K44" s="88">
        <f>K45</f>
        <v>20500</v>
      </c>
      <c r="L44" s="87">
        <f t="shared" si="1"/>
        <v>154.54012669890014</v>
      </c>
      <c r="M44" s="87">
        <f t="shared" si="2"/>
        <v>32.258064516129032</v>
      </c>
    </row>
    <row r="45" spans="1:14" ht="15.75" customHeight="1" x14ac:dyDescent="0.25">
      <c r="A45" s="14">
        <v>55</v>
      </c>
      <c r="B45" s="15" t="s">
        <v>6</v>
      </c>
      <c r="C45" s="17">
        <v>19728.27</v>
      </c>
      <c r="D45" s="16">
        <v>15500</v>
      </c>
      <c r="E45" s="18">
        <v>-16.29</v>
      </c>
      <c r="F45" s="18"/>
      <c r="G45" s="47">
        <v>8053.74</v>
      </c>
      <c r="H45" s="59">
        <f t="shared" si="0"/>
        <v>51.959612903225803</v>
      </c>
      <c r="I45" s="77">
        <f>13500+7000</f>
        <v>20500</v>
      </c>
      <c r="J45" s="77"/>
      <c r="K45" s="77">
        <f>13500+7000</f>
        <v>20500</v>
      </c>
      <c r="L45" s="87">
        <f t="shared" si="1"/>
        <v>154.54012669890014</v>
      </c>
      <c r="M45" s="87">
        <f t="shared" si="2"/>
        <v>32.258064516129032</v>
      </c>
      <c r="N45" s="49"/>
    </row>
    <row r="46" spans="1:14" ht="15.75" customHeight="1" x14ac:dyDescent="0.25">
      <c r="A46" s="10">
        <v>5101</v>
      </c>
      <c r="B46" s="11" t="s">
        <v>23</v>
      </c>
      <c r="C46" s="92">
        <f>C47+C48</f>
        <v>246890.8</v>
      </c>
      <c r="D46" s="92">
        <f>D47+D48</f>
        <v>275446.24</v>
      </c>
      <c r="E46" s="13">
        <v>3.15</v>
      </c>
      <c r="F46" s="58"/>
      <c r="G46" s="92">
        <f>G47+G48</f>
        <v>232048.13999999998</v>
      </c>
      <c r="H46" s="59">
        <f t="shared" si="0"/>
        <v>84.244439132659792</v>
      </c>
      <c r="I46" s="88">
        <f>I47+I48</f>
        <v>280118.40000000002</v>
      </c>
      <c r="J46" s="88">
        <v>0</v>
      </c>
      <c r="K46" s="88">
        <f>K47+K48</f>
        <v>280118.40000000002</v>
      </c>
      <c r="L46" s="87">
        <f t="shared" si="1"/>
        <v>20.715641159631808</v>
      </c>
      <c r="M46" s="87">
        <f t="shared" si="2"/>
        <v>1.6962148403260224</v>
      </c>
    </row>
    <row r="47" spans="1:14" ht="15.75" customHeight="1" x14ac:dyDescent="0.25">
      <c r="A47" s="14">
        <v>50</v>
      </c>
      <c r="B47" s="15" t="s">
        <v>5</v>
      </c>
      <c r="C47" s="17">
        <v>34052.800000000003</v>
      </c>
      <c r="D47" s="16">
        <v>44796.24</v>
      </c>
      <c r="E47" s="18">
        <v>39.9</v>
      </c>
      <c r="F47" s="18"/>
      <c r="G47" s="16">
        <v>39415.96</v>
      </c>
      <c r="H47" s="59">
        <f t="shared" si="0"/>
        <v>87.989438399294229</v>
      </c>
      <c r="I47" s="74">
        <v>62618.400000000001</v>
      </c>
      <c r="J47" s="74"/>
      <c r="K47" s="74">
        <v>62618.400000000001</v>
      </c>
      <c r="L47" s="87">
        <f t="shared" si="1"/>
        <v>58.865596575600343</v>
      </c>
      <c r="M47" s="87">
        <f t="shared" si="2"/>
        <v>39.784946236559151</v>
      </c>
      <c r="N47" s="49"/>
    </row>
    <row r="48" spans="1:14" ht="15.75" customHeight="1" x14ac:dyDescent="0.25">
      <c r="A48" s="14">
        <v>55</v>
      </c>
      <c r="B48" s="15" t="s">
        <v>6</v>
      </c>
      <c r="C48" s="17">
        <v>212838</v>
      </c>
      <c r="D48" s="16">
        <v>230650</v>
      </c>
      <c r="E48" s="18">
        <v>-0.37</v>
      </c>
      <c r="F48" s="18"/>
      <c r="G48" s="16">
        <v>192632.18</v>
      </c>
      <c r="H48" s="59">
        <f t="shared" si="0"/>
        <v>83.51709516583567</v>
      </c>
      <c r="I48" s="74">
        <f>200150+17350</f>
        <v>217500</v>
      </c>
      <c r="J48" s="74"/>
      <c r="K48" s="74">
        <f>200150+17350</f>
        <v>217500</v>
      </c>
      <c r="L48" s="87">
        <f t="shared" si="1"/>
        <v>12.909483763304763</v>
      </c>
      <c r="M48" s="87">
        <f t="shared" si="2"/>
        <v>-5.7012789941469757</v>
      </c>
    </row>
    <row r="49" spans="1:16" ht="28.8" customHeight="1" x14ac:dyDescent="0.25">
      <c r="A49" s="2">
        <v>6</v>
      </c>
      <c r="B49" s="3" t="s">
        <v>24</v>
      </c>
      <c r="C49" s="92">
        <f>C50+C51+C52</f>
        <v>212840.44</v>
      </c>
      <c r="D49" s="92">
        <f>D50+D51+D52</f>
        <v>184018.38</v>
      </c>
      <c r="E49" s="5">
        <v>-20.88</v>
      </c>
      <c r="F49" s="59"/>
      <c r="G49" s="92">
        <f>G50+G51+G52</f>
        <v>177357.36</v>
      </c>
      <c r="H49" s="59">
        <f t="shared" si="0"/>
        <v>96.380242017128936</v>
      </c>
      <c r="I49" s="88">
        <f>I50+I51+I52</f>
        <v>151434.88</v>
      </c>
      <c r="J49" s="88">
        <f>J50+J51+J52</f>
        <v>5000</v>
      </c>
      <c r="K49" s="88">
        <f>K50+K51+K52</f>
        <v>156434.88</v>
      </c>
      <c r="L49" s="87">
        <f t="shared" si="1"/>
        <v>-11.796792645086724</v>
      </c>
      <c r="M49" s="87">
        <f t="shared" si="2"/>
        <v>-14.98953528446452</v>
      </c>
    </row>
    <row r="50" spans="1:16" ht="15.75" customHeight="1" x14ac:dyDescent="0.25">
      <c r="A50" s="6">
        <v>45</v>
      </c>
      <c r="B50" s="1" t="s">
        <v>4</v>
      </c>
      <c r="C50" s="8">
        <f>C56</f>
        <v>29000</v>
      </c>
      <c r="D50" s="8">
        <f>D56</f>
        <v>30000</v>
      </c>
      <c r="E50" s="9">
        <v>0</v>
      </c>
      <c r="F50" s="32"/>
      <c r="G50" s="8">
        <f>G56</f>
        <v>29552.29</v>
      </c>
      <c r="H50" s="59">
        <f t="shared" si="0"/>
        <v>98.507633333333331</v>
      </c>
      <c r="I50" s="56">
        <f>I56</f>
        <v>30000</v>
      </c>
      <c r="J50" s="56">
        <v>0</v>
      </c>
      <c r="K50" s="56">
        <f>K56</f>
        <v>30000</v>
      </c>
      <c r="L50" s="87">
        <f t="shared" si="1"/>
        <v>1.5149756584007503</v>
      </c>
      <c r="M50" s="87">
        <f t="shared" si="2"/>
        <v>0</v>
      </c>
      <c r="O50" s="38"/>
    </row>
    <row r="51" spans="1:16" ht="15.75" customHeight="1" x14ac:dyDescent="0.25">
      <c r="A51" s="6">
        <v>50</v>
      </c>
      <c r="B51" s="1" t="s">
        <v>5</v>
      </c>
      <c r="C51" s="8">
        <f>C61</f>
        <v>15253.2</v>
      </c>
      <c r="D51" s="8">
        <f>D61</f>
        <v>15734.88</v>
      </c>
      <c r="E51" s="9">
        <v>5.55</v>
      </c>
      <c r="F51" s="32"/>
      <c r="G51" s="8">
        <f>G61</f>
        <v>14348.39</v>
      </c>
      <c r="H51" s="59">
        <f t="shared" si="0"/>
        <v>91.188429781479101</v>
      </c>
      <c r="I51" s="56">
        <f>I61</f>
        <v>9974.8799999999992</v>
      </c>
      <c r="J51" s="56">
        <v>0</v>
      </c>
      <c r="K51" s="56">
        <f>K61</f>
        <v>9974.8799999999992</v>
      </c>
      <c r="L51" s="87">
        <f t="shared" si="1"/>
        <v>-30.480841404506016</v>
      </c>
      <c r="M51" s="87">
        <f t="shared" si="2"/>
        <v>-36.606570879472869</v>
      </c>
      <c r="O51" s="38"/>
      <c r="P51" s="38"/>
    </row>
    <row r="52" spans="1:16" ht="15.75" customHeight="1" x14ac:dyDescent="0.25">
      <c r="A52" s="6">
        <v>55</v>
      </c>
      <c r="B52" s="1" t="s">
        <v>6</v>
      </c>
      <c r="C52" s="8">
        <f>C54+C57+C59+C62</f>
        <v>168587.24</v>
      </c>
      <c r="D52" s="7">
        <f>D54+D57+D59+D62</f>
        <v>138283.5</v>
      </c>
      <c r="E52" s="9">
        <v>-27.29</v>
      </c>
      <c r="F52" s="9"/>
      <c r="G52" s="7">
        <f>G54+G57+G59+G62</f>
        <v>133456.68</v>
      </c>
      <c r="H52" s="59">
        <f t="shared" si="0"/>
        <v>96.509475100066169</v>
      </c>
      <c r="I52" s="56">
        <f>I54+I57+I59+I62</f>
        <v>111460</v>
      </c>
      <c r="J52" s="56">
        <f>J54+J57+J59+J62</f>
        <v>5000</v>
      </c>
      <c r="K52" s="56">
        <f>K54+K57+K59+K62</f>
        <v>116460</v>
      </c>
      <c r="L52" s="87">
        <f t="shared" si="1"/>
        <v>-12.735728177862654</v>
      </c>
      <c r="M52" s="87">
        <f t="shared" si="2"/>
        <v>-15.781709314560304</v>
      </c>
      <c r="O52" s="38"/>
      <c r="P52" s="38"/>
    </row>
    <row r="53" spans="1:16" ht="15.75" customHeight="1" x14ac:dyDescent="0.25">
      <c r="A53" s="10">
        <v>6100</v>
      </c>
      <c r="B53" s="21" t="s">
        <v>25</v>
      </c>
      <c r="C53" s="92">
        <f>C54</f>
        <v>42300</v>
      </c>
      <c r="D53" s="94">
        <f>D54</f>
        <v>40300</v>
      </c>
      <c r="E53" s="13">
        <v>-18.809999999999999</v>
      </c>
      <c r="F53" s="13"/>
      <c r="G53" s="94">
        <f>G54</f>
        <v>38771.699999999997</v>
      </c>
      <c r="H53" s="59">
        <f t="shared" si="0"/>
        <v>96.207692307692298</v>
      </c>
      <c r="I53" s="88">
        <f>I54</f>
        <v>39600</v>
      </c>
      <c r="J53" s="88">
        <v>0</v>
      </c>
      <c r="K53" s="88">
        <f>K54</f>
        <v>39600</v>
      </c>
      <c r="L53" s="87">
        <f t="shared" si="1"/>
        <v>2.1363520299600043</v>
      </c>
      <c r="M53" s="87">
        <f t="shared" si="2"/>
        <v>-1.7369727047146404</v>
      </c>
      <c r="O53" s="38"/>
      <c r="P53" s="38"/>
    </row>
    <row r="54" spans="1:16" ht="15.75" customHeight="1" x14ac:dyDescent="0.25">
      <c r="A54" s="14">
        <v>55</v>
      </c>
      <c r="B54" s="15" t="s">
        <v>6</v>
      </c>
      <c r="C54" s="17">
        <v>42300</v>
      </c>
      <c r="D54" s="16">
        <v>40300</v>
      </c>
      <c r="E54" s="18">
        <v>-18.809999999999999</v>
      </c>
      <c r="F54" s="18"/>
      <c r="G54" s="16">
        <v>38771.699999999997</v>
      </c>
      <c r="H54" s="59">
        <f t="shared" si="0"/>
        <v>96.207692307692298</v>
      </c>
      <c r="I54" s="74">
        <v>39600</v>
      </c>
      <c r="J54" s="74"/>
      <c r="K54" s="74">
        <v>39600</v>
      </c>
      <c r="L54" s="87">
        <f t="shared" si="1"/>
        <v>2.1363520299600043</v>
      </c>
      <c r="M54" s="87">
        <f t="shared" si="2"/>
        <v>-1.7369727047146404</v>
      </c>
      <c r="N54" s="49"/>
      <c r="O54" s="38"/>
    </row>
    <row r="55" spans="1:16" ht="15.75" customHeight="1" x14ac:dyDescent="0.25">
      <c r="A55" s="10">
        <v>6300</v>
      </c>
      <c r="B55" s="11" t="s">
        <v>26</v>
      </c>
      <c r="C55" s="92">
        <f>C56+C57</f>
        <v>47984</v>
      </c>
      <c r="D55" s="94">
        <f>D56+D57</f>
        <v>50733</v>
      </c>
      <c r="E55" s="13">
        <v>0</v>
      </c>
      <c r="F55" s="13"/>
      <c r="G55" s="94">
        <f>G57</f>
        <v>18318.62</v>
      </c>
      <c r="H55" s="59">
        <f t="shared" si="0"/>
        <v>36.107898212209015</v>
      </c>
      <c r="I55" s="88">
        <f>I56+I57</f>
        <v>32000</v>
      </c>
      <c r="J55" s="88">
        <v>0</v>
      </c>
      <c r="K55" s="88">
        <f>K56+K57</f>
        <v>32000</v>
      </c>
      <c r="L55" s="87">
        <f t="shared" si="1"/>
        <v>74.685647718004972</v>
      </c>
      <c r="M55" s="87">
        <f t="shared" si="2"/>
        <v>-36.924684130644749</v>
      </c>
    </row>
    <row r="56" spans="1:16" ht="15.75" customHeight="1" x14ac:dyDescent="0.25">
      <c r="A56" s="14">
        <v>45</v>
      </c>
      <c r="B56" s="15" t="s">
        <v>4</v>
      </c>
      <c r="C56" s="17">
        <v>29000</v>
      </c>
      <c r="D56" s="16">
        <v>30000</v>
      </c>
      <c r="E56" s="18">
        <v>0</v>
      </c>
      <c r="F56" s="18"/>
      <c r="G56" s="16">
        <v>29552.29</v>
      </c>
      <c r="H56" s="59">
        <f t="shared" si="0"/>
        <v>98.507633333333331</v>
      </c>
      <c r="I56" s="74">
        <v>30000</v>
      </c>
      <c r="J56" s="74"/>
      <c r="K56" s="74">
        <v>30000</v>
      </c>
      <c r="L56" s="87">
        <f t="shared" si="1"/>
        <v>1.5149756584007503</v>
      </c>
      <c r="M56" s="87">
        <f t="shared" si="2"/>
        <v>0</v>
      </c>
    </row>
    <row r="57" spans="1:16" ht="15.75" customHeight="1" x14ac:dyDescent="0.25">
      <c r="A57" s="14">
        <v>55</v>
      </c>
      <c r="B57" s="15" t="s">
        <v>6</v>
      </c>
      <c r="C57" s="17">
        <v>18984</v>
      </c>
      <c r="D57" s="16">
        <v>20733</v>
      </c>
      <c r="E57" s="20"/>
      <c r="F57" s="20"/>
      <c r="G57" s="46">
        <v>18318.62</v>
      </c>
      <c r="H57" s="59">
        <f t="shared" si="0"/>
        <v>88.354893165484967</v>
      </c>
      <c r="I57" s="77">
        <v>2000</v>
      </c>
      <c r="J57" s="77"/>
      <c r="K57" s="77">
        <v>2000</v>
      </c>
      <c r="L57" s="87">
        <f t="shared" si="1"/>
        <v>-89.082147017624692</v>
      </c>
      <c r="M57" s="87">
        <f t="shared" si="2"/>
        <v>-90.353542661457581</v>
      </c>
      <c r="N57" s="49"/>
    </row>
    <row r="58" spans="1:16" ht="15.75" customHeight="1" x14ac:dyDescent="0.25">
      <c r="A58" s="10">
        <v>6400</v>
      </c>
      <c r="B58" s="11" t="s">
        <v>27</v>
      </c>
      <c r="C58" s="92">
        <f>C59</f>
        <v>81148.240000000005</v>
      </c>
      <c r="D58" s="92">
        <f>D59</f>
        <v>47940</v>
      </c>
      <c r="E58" s="13">
        <v>-43.31</v>
      </c>
      <c r="F58" s="58"/>
      <c r="G58" s="92">
        <f>G59</f>
        <v>50746.26</v>
      </c>
      <c r="H58" s="59">
        <f t="shared" si="0"/>
        <v>105.85369211514393</v>
      </c>
      <c r="I58" s="88">
        <f>I59</f>
        <v>49600</v>
      </c>
      <c r="J58" s="88">
        <v>0</v>
      </c>
      <c r="K58" s="88">
        <f>K59</f>
        <v>49600</v>
      </c>
      <c r="L58" s="87">
        <f t="shared" si="1"/>
        <v>-2.2588068559141146</v>
      </c>
      <c r="M58" s="87">
        <f t="shared" si="2"/>
        <v>3.4626616604088447</v>
      </c>
    </row>
    <row r="59" spans="1:16" ht="15.75" customHeight="1" x14ac:dyDescent="0.25">
      <c r="A59" s="14">
        <v>55</v>
      </c>
      <c r="B59" s="15" t="s">
        <v>6</v>
      </c>
      <c r="C59" s="17">
        <v>81148.240000000005</v>
      </c>
      <c r="D59" s="16">
        <v>47940</v>
      </c>
      <c r="E59" s="18">
        <v>-43.31</v>
      </c>
      <c r="F59" s="18"/>
      <c r="G59" s="47">
        <v>50746.26</v>
      </c>
      <c r="H59" s="59">
        <f t="shared" si="0"/>
        <v>105.85369211514393</v>
      </c>
      <c r="I59" s="77">
        <v>49600</v>
      </c>
      <c r="J59" s="77"/>
      <c r="K59" s="77">
        <v>49600</v>
      </c>
      <c r="L59" s="87">
        <f t="shared" si="1"/>
        <v>-2.2588068559141146</v>
      </c>
      <c r="M59" s="87">
        <f t="shared" si="2"/>
        <v>3.4626616604088447</v>
      </c>
    </row>
    <row r="60" spans="1:16" ht="30.75" customHeight="1" x14ac:dyDescent="0.25">
      <c r="A60" s="10">
        <v>6605</v>
      </c>
      <c r="B60" s="21" t="s">
        <v>28</v>
      </c>
      <c r="C60" s="92">
        <f>C61+C62</f>
        <v>41408.199999999997</v>
      </c>
      <c r="D60" s="92">
        <f>D61+D62</f>
        <v>45045.38</v>
      </c>
      <c r="E60" s="13">
        <v>7.23</v>
      </c>
      <c r="F60" s="58"/>
      <c r="G60" s="92">
        <f>G61+G62</f>
        <v>39968.49</v>
      </c>
      <c r="H60" s="59">
        <f t="shared" si="0"/>
        <v>88.729388008270774</v>
      </c>
      <c r="I60" s="88">
        <f>I61+I62</f>
        <v>30234.879999999997</v>
      </c>
      <c r="J60" s="88">
        <f>J61+J62</f>
        <v>5000</v>
      </c>
      <c r="K60" s="88">
        <f>K61+K62</f>
        <v>35234.879999999997</v>
      </c>
      <c r="L60" s="87">
        <f t="shared" si="1"/>
        <v>-11.843354602588191</v>
      </c>
      <c r="M60" s="87">
        <f t="shared" si="2"/>
        <v>-21.779148050255099</v>
      </c>
    </row>
    <row r="61" spans="1:16" ht="15.75" customHeight="1" x14ac:dyDescent="0.25">
      <c r="A61" s="14">
        <v>50</v>
      </c>
      <c r="B61" s="52" t="s">
        <v>79</v>
      </c>
      <c r="C61" s="17">
        <v>15253.2</v>
      </c>
      <c r="D61" s="16">
        <v>15734.88</v>
      </c>
      <c r="E61" s="18">
        <v>5.55</v>
      </c>
      <c r="F61" s="18"/>
      <c r="G61" s="16">
        <v>14348.39</v>
      </c>
      <c r="H61" s="59">
        <f t="shared" si="0"/>
        <v>91.188429781479101</v>
      </c>
      <c r="I61" s="74">
        <v>9974.8799999999992</v>
      </c>
      <c r="J61" s="74"/>
      <c r="K61" s="74">
        <v>9974.8799999999992</v>
      </c>
      <c r="L61" s="87">
        <f t="shared" si="1"/>
        <v>-30.480841404506016</v>
      </c>
      <c r="M61" s="87">
        <f t="shared" si="2"/>
        <v>-36.606570879472869</v>
      </c>
    </row>
    <row r="62" spans="1:16" ht="15.75" customHeight="1" x14ac:dyDescent="0.25">
      <c r="A62" s="14">
        <v>55</v>
      </c>
      <c r="B62" s="52" t="s">
        <v>84</v>
      </c>
      <c r="C62" s="17">
        <v>26155</v>
      </c>
      <c r="D62" s="16">
        <v>29310.5</v>
      </c>
      <c r="E62" s="18">
        <v>8.24</v>
      </c>
      <c r="F62" s="18"/>
      <c r="G62" s="16">
        <v>25620.1</v>
      </c>
      <c r="H62" s="59">
        <f t="shared" si="0"/>
        <v>87.40929018611078</v>
      </c>
      <c r="I62" s="74">
        <v>20260</v>
      </c>
      <c r="J62" s="74">
        <v>5000</v>
      </c>
      <c r="K62" s="74">
        <f>20260+J62</f>
        <v>25260</v>
      </c>
      <c r="L62" s="87">
        <f t="shared" si="1"/>
        <v>-1.405537058793676</v>
      </c>
      <c r="M62" s="87">
        <f t="shared" si="2"/>
        <v>-13.819279780283516</v>
      </c>
      <c r="N62" s="49"/>
    </row>
    <row r="63" spans="1:16" ht="15.75" customHeight="1" x14ac:dyDescent="0.25">
      <c r="A63" s="114" t="s">
        <v>92</v>
      </c>
      <c r="B63" s="115" t="s">
        <v>95</v>
      </c>
      <c r="C63" s="104">
        <v>0</v>
      </c>
      <c r="D63" s="104">
        <f>D64</f>
        <v>8739</v>
      </c>
      <c r="E63" s="108"/>
      <c r="F63" s="108"/>
      <c r="G63" s="111">
        <f>G64+G65+G66</f>
        <v>2340</v>
      </c>
      <c r="H63" s="59">
        <f t="shared" si="0"/>
        <v>26.776519052523174</v>
      </c>
      <c r="I63" s="107">
        <f>I64+I65+I66</f>
        <v>61333.2</v>
      </c>
      <c r="J63" s="107">
        <v>0</v>
      </c>
      <c r="K63" s="107">
        <f>K64+K65+K66</f>
        <v>61333.2</v>
      </c>
      <c r="L63" s="87">
        <f t="shared" si="1"/>
        <v>2521.0769230769229</v>
      </c>
      <c r="M63" s="87">
        <f t="shared" si="2"/>
        <v>601.83316168898045</v>
      </c>
    </row>
    <row r="64" spans="1:16" ht="15.75" customHeight="1" x14ac:dyDescent="0.25">
      <c r="A64" s="116">
        <v>41</v>
      </c>
      <c r="B64" s="117" t="s">
        <v>78</v>
      </c>
      <c r="C64" s="118">
        <v>0</v>
      </c>
      <c r="D64" s="118">
        <f>D68</f>
        <v>8739</v>
      </c>
      <c r="E64" s="119"/>
      <c r="F64" s="119"/>
      <c r="G64" s="120">
        <f>G68</f>
        <v>0</v>
      </c>
      <c r="H64" s="59">
        <f t="shared" si="0"/>
        <v>0</v>
      </c>
      <c r="I64" s="121">
        <f>I68</f>
        <v>8982</v>
      </c>
      <c r="J64" s="121">
        <v>0</v>
      </c>
      <c r="K64" s="121">
        <f>K68</f>
        <v>8982</v>
      </c>
      <c r="L64" s="87"/>
      <c r="M64" s="87">
        <f t="shared" si="2"/>
        <v>2.780638516992791</v>
      </c>
    </row>
    <row r="65" spans="1:14" ht="15.75" customHeight="1" x14ac:dyDescent="0.25">
      <c r="A65" s="116">
        <v>50</v>
      </c>
      <c r="B65" s="117" t="s">
        <v>79</v>
      </c>
      <c r="C65" s="118">
        <v>0</v>
      </c>
      <c r="D65" s="118">
        <v>0</v>
      </c>
      <c r="E65" s="119"/>
      <c r="F65" s="119"/>
      <c r="G65" s="120">
        <v>0</v>
      </c>
      <c r="H65" s="59"/>
      <c r="I65" s="121">
        <f>I69</f>
        <v>43351.199999999997</v>
      </c>
      <c r="J65" s="121">
        <v>0</v>
      </c>
      <c r="K65" s="121">
        <f>K69</f>
        <v>43351.199999999997</v>
      </c>
      <c r="L65" s="87"/>
      <c r="M65" s="87"/>
    </row>
    <row r="66" spans="1:14" ht="15.75" customHeight="1" x14ac:dyDescent="0.25">
      <c r="A66" s="116">
        <v>55</v>
      </c>
      <c r="B66" s="117" t="s">
        <v>84</v>
      </c>
      <c r="C66" s="118">
        <v>0</v>
      </c>
      <c r="D66" s="118">
        <v>0</v>
      </c>
      <c r="E66" s="119"/>
      <c r="F66" s="119"/>
      <c r="G66" s="120">
        <f>G70</f>
        <v>2340</v>
      </c>
      <c r="H66" s="59"/>
      <c r="I66" s="121">
        <f>I70</f>
        <v>9000</v>
      </c>
      <c r="J66" s="121">
        <v>0</v>
      </c>
      <c r="K66" s="121">
        <f>K70</f>
        <v>9000</v>
      </c>
      <c r="L66" s="87">
        <f t="shared" si="1"/>
        <v>284.61538461538464</v>
      </c>
      <c r="M66" s="87"/>
    </row>
    <row r="67" spans="1:14" ht="15.75" customHeight="1" x14ac:dyDescent="0.25">
      <c r="A67" s="112" t="s">
        <v>94</v>
      </c>
      <c r="B67" s="11" t="s">
        <v>93</v>
      </c>
      <c r="C67" s="104">
        <v>0</v>
      </c>
      <c r="D67" s="104">
        <f>D68</f>
        <v>8739</v>
      </c>
      <c r="E67" s="108"/>
      <c r="F67" s="108"/>
      <c r="G67" s="111">
        <f>G68+G69+G70</f>
        <v>2340</v>
      </c>
      <c r="H67" s="59">
        <f t="shared" si="0"/>
        <v>26.776519052523174</v>
      </c>
      <c r="I67" s="107">
        <f>I68+I69+I70</f>
        <v>61333.2</v>
      </c>
      <c r="J67" s="107">
        <v>0</v>
      </c>
      <c r="K67" s="107">
        <f>K68+K69+K70</f>
        <v>61333.2</v>
      </c>
      <c r="L67" s="87">
        <f t="shared" si="1"/>
        <v>2521.0769230769229</v>
      </c>
      <c r="M67" s="87">
        <f t="shared" si="2"/>
        <v>601.83316168898045</v>
      </c>
    </row>
    <row r="68" spans="1:14" ht="15.75" customHeight="1" x14ac:dyDescent="0.25">
      <c r="A68" s="14">
        <v>41</v>
      </c>
      <c r="B68" s="15" t="s">
        <v>78</v>
      </c>
      <c r="C68" s="17">
        <v>0</v>
      </c>
      <c r="D68" s="17">
        <v>8739</v>
      </c>
      <c r="E68" s="18"/>
      <c r="F68" s="18"/>
      <c r="G68" s="16">
        <v>0</v>
      </c>
      <c r="H68" s="59"/>
      <c r="I68" s="74">
        <v>8982</v>
      </c>
      <c r="J68" s="74"/>
      <c r="K68" s="74">
        <v>8982</v>
      </c>
      <c r="L68" s="87"/>
      <c r="M68" s="87">
        <f t="shared" ref="M68:M131" si="3">(K68-D68)/D68*100</f>
        <v>2.780638516992791</v>
      </c>
      <c r="N68" s="49"/>
    </row>
    <row r="69" spans="1:14" ht="15.75" customHeight="1" x14ac:dyDescent="0.25">
      <c r="A69" s="14">
        <v>50</v>
      </c>
      <c r="B69" s="15" t="s">
        <v>79</v>
      </c>
      <c r="C69" s="17">
        <v>0</v>
      </c>
      <c r="D69" s="17">
        <v>0</v>
      </c>
      <c r="E69" s="18"/>
      <c r="F69" s="18"/>
      <c r="G69" s="16">
        <v>0</v>
      </c>
      <c r="H69" s="59"/>
      <c r="I69" s="74">
        <v>43351.199999999997</v>
      </c>
      <c r="J69" s="74"/>
      <c r="K69" s="74">
        <v>43351.199999999997</v>
      </c>
      <c r="L69" s="87"/>
      <c r="M69" s="87"/>
      <c r="N69" s="49"/>
    </row>
    <row r="70" spans="1:14" ht="15.75" customHeight="1" x14ac:dyDescent="0.25">
      <c r="A70" s="14">
        <v>55</v>
      </c>
      <c r="B70" s="15" t="s">
        <v>84</v>
      </c>
      <c r="C70" s="17">
        <v>0</v>
      </c>
      <c r="D70" s="17">
        <v>0</v>
      </c>
      <c r="E70" s="18"/>
      <c r="F70" s="18"/>
      <c r="G70" s="16">
        <v>2340</v>
      </c>
      <c r="H70" s="59"/>
      <c r="I70" s="74">
        <v>9000</v>
      </c>
      <c r="J70" s="74"/>
      <c r="K70" s="74">
        <v>9000</v>
      </c>
      <c r="L70" s="87">
        <f t="shared" ref="L70:L131" si="4">(K70-G70)/G70*100</f>
        <v>284.61538461538464</v>
      </c>
      <c r="M70" s="87"/>
      <c r="N70" s="49"/>
    </row>
    <row r="71" spans="1:14" ht="15.75" customHeight="1" x14ac:dyDescent="0.25">
      <c r="A71" s="2">
        <v>8</v>
      </c>
      <c r="B71" s="3" t="s">
        <v>29</v>
      </c>
      <c r="C71" s="4">
        <f>C72+C73+C74+C75</f>
        <v>1078547.26</v>
      </c>
      <c r="D71" s="92">
        <f>D72+D73+D74+D75+D76</f>
        <v>1102975.9100000001</v>
      </c>
      <c r="E71" s="5">
        <v>10.55</v>
      </c>
      <c r="F71" s="5"/>
      <c r="G71" s="94">
        <f>G72+G73+G74+G75+G76</f>
        <v>1020605.28</v>
      </c>
      <c r="H71" s="59">
        <f t="shared" si="0"/>
        <v>92.531964728041956</v>
      </c>
      <c r="I71" s="88">
        <f>I72+I73+I74+I75</f>
        <v>1147128.3500000001</v>
      </c>
      <c r="J71" s="88">
        <f>J72+J73+J74+J75</f>
        <v>22566.32</v>
      </c>
      <c r="K71" s="88">
        <f>K72+K73+K74+K75</f>
        <v>1169694.67</v>
      </c>
      <c r="L71" s="87">
        <f t="shared" si="4"/>
        <v>14.607938340275869</v>
      </c>
      <c r="M71" s="87">
        <f t="shared" si="3"/>
        <v>6.0489770805601522</v>
      </c>
    </row>
    <row r="72" spans="1:14" ht="15.75" customHeight="1" x14ac:dyDescent="0.25">
      <c r="A72" s="6">
        <v>41</v>
      </c>
      <c r="B72" s="113" t="s">
        <v>78</v>
      </c>
      <c r="C72" s="8">
        <f>C78+C110</f>
        <v>4100</v>
      </c>
      <c r="D72" s="8">
        <f>D78+D110</f>
        <v>5600</v>
      </c>
      <c r="E72" s="9">
        <v>0</v>
      </c>
      <c r="F72" s="32"/>
      <c r="G72" s="8">
        <f>G78+G110</f>
        <v>2700</v>
      </c>
      <c r="H72" s="59">
        <f t="shared" si="0"/>
        <v>48.214285714285715</v>
      </c>
      <c r="I72" s="56">
        <f>I78+I110</f>
        <v>5600</v>
      </c>
      <c r="J72" s="56">
        <v>0</v>
      </c>
      <c r="K72" s="56">
        <f>K78+K110</f>
        <v>5600</v>
      </c>
      <c r="L72" s="87">
        <f t="shared" si="4"/>
        <v>107.40740740740742</v>
      </c>
      <c r="M72" s="87">
        <f t="shared" si="3"/>
        <v>0</v>
      </c>
    </row>
    <row r="73" spans="1:14" ht="15.75" customHeight="1" x14ac:dyDescent="0.25">
      <c r="A73" s="6">
        <v>45</v>
      </c>
      <c r="B73" s="1" t="s">
        <v>4</v>
      </c>
      <c r="C73" s="8">
        <f>C79+C86+C90+C95+C106+C108+C114</f>
        <v>285690.2</v>
      </c>
      <c r="D73" s="8">
        <f>D79+D86+D90+D95+D106+D108+D114</f>
        <v>299380</v>
      </c>
      <c r="E73" s="9">
        <v>8.1999999999999993</v>
      </c>
      <c r="F73" s="32"/>
      <c r="G73" s="8">
        <f>G79+G86+G90+G95+G106+G108+G114</f>
        <v>278893.09999999998</v>
      </c>
      <c r="H73" s="59">
        <f t="shared" si="0"/>
        <v>93.15689090787626</v>
      </c>
      <c r="I73" s="56">
        <f>I79+I86+I90+I95+I106+I108+I114</f>
        <v>327692</v>
      </c>
      <c r="J73" s="56">
        <f>J79+J90+J106</f>
        <v>-17793.599999999999</v>
      </c>
      <c r="K73" s="56">
        <f>K79+K86+K90+K95+K106+K108+K114</f>
        <v>309898.40000000002</v>
      </c>
      <c r="L73" s="87">
        <f t="shared" si="4"/>
        <v>11.117270380658413</v>
      </c>
      <c r="M73" s="87">
        <f t="shared" si="3"/>
        <v>3.5133943483198689</v>
      </c>
    </row>
    <row r="74" spans="1:14" ht="15.75" customHeight="1" x14ac:dyDescent="0.25">
      <c r="A74" s="6">
        <v>50</v>
      </c>
      <c r="B74" s="1" t="s">
        <v>5</v>
      </c>
      <c r="C74" s="8">
        <f>C80+C87+C92+C96+C111</f>
        <v>394583.96</v>
      </c>
      <c r="D74" s="8">
        <f>D80+D87+D92+D96+D111</f>
        <v>407458.37</v>
      </c>
      <c r="E74" s="8">
        <f>E80+E87+E92+E96+E111</f>
        <v>32.950000000000003</v>
      </c>
      <c r="F74" s="8"/>
      <c r="G74" s="8">
        <f>G80+G87+G92+G96+G111</f>
        <v>390964.25</v>
      </c>
      <c r="H74" s="59">
        <f t="shared" si="0"/>
        <v>95.951949643346396</v>
      </c>
      <c r="I74" s="56">
        <f>I80+I87+I92+I96+I111</f>
        <v>414557.87</v>
      </c>
      <c r="J74" s="56">
        <f>J92+J96</f>
        <v>7426.92</v>
      </c>
      <c r="K74" s="56">
        <f>K80+K87+K92+K96+K111</f>
        <v>421984.79</v>
      </c>
      <c r="L74" s="87">
        <f t="shared" si="4"/>
        <v>7.9343674005999221</v>
      </c>
      <c r="M74" s="87">
        <f t="shared" si="3"/>
        <v>3.5651298560881157</v>
      </c>
    </row>
    <row r="75" spans="1:14" ht="15.75" customHeight="1" x14ac:dyDescent="0.25">
      <c r="A75" s="6">
        <v>55</v>
      </c>
      <c r="B75" s="1" t="s">
        <v>6</v>
      </c>
      <c r="C75" s="8">
        <f>C81+C84+C88+C93+C97+C112</f>
        <v>394173.1</v>
      </c>
      <c r="D75" s="8">
        <f t="shared" ref="D75:G75" si="5">D81+D84+D88+D93+D97+D112</f>
        <v>389412.54000000004</v>
      </c>
      <c r="E75" s="8">
        <f t="shared" si="5"/>
        <v>-19.120000000000005</v>
      </c>
      <c r="F75" s="8">
        <f t="shared" si="5"/>
        <v>0</v>
      </c>
      <c r="G75" s="8">
        <f t="shared" si="5"/>
        <v>346922.93000000005</v>
      </c>
      <c r="H75" s="59">
        <f t="shared" si="0"/>
        <v>89.0887925694432</v>
      </c>
      <c r="I75" s="56">
        <f>I81+I84+I88+I93+I97+I112</f>
        <v>399278.48</v>
      </c>
      <c r="J75" s="56">
        <f>J88+J93+J81</f>
        <v>32933</v>
      </c>
      <c r="K75" s="56">
        <f>K81+K84+K88+K93+K97+K112</f>
        <v>432211.48</v>
      </c>
      <c r="L75" s="87">
        <f t="shared" si="4"/>
        <v>24.584293116629656</v>
      </c>
      <c r="M75" s="87">
        <f t="shared" si="3"/>
        <v>10.990642468781294</v>
      </c>
    </row>
    <row r="76" spans="1:14" ht="15.75" customHeight="1" x14ac:dyDescent="0.25">
      <c r="A76" s="6">
        <v>60</v>
      </c>
      <c r="B76" s="1" t="s">
        <v>81</v>
      </c>
      <c r="C76" s="8"/>
      <c r="D76" s="8">
        <f>D82</f>
        <v>1125</v>
      </c>
      <c r="E76" s="9"/>
      <c r="F76" s="32"/>
      <c r="G76" s="8">
        <f>G82</f>
        <v>1125</v>
      </c>
      <c r="H76" s="59">
        <f t="shared" si="0"/>
        <v>100</v>
      </c>
      <c r="I76" s="56"/>
      <c r="J76" s="56"/>
      <c r="K76" s="56"/>
      <c r="L76" s="87"/>
      <c r="M76" s="87"/>
    </row>
    <row r="77" spans="1:14" ht="15.75" customHeight="1" x14ac:dyDescent="0.25">
      <c r="A77" s="10">
        <v>8102</v>
      </c>
      <c r="B77" s="21" t="s">
        <v>30</v>
      </c>
      <c r="C77" s="92">
        <f>C78+C79+C80+C81</f>
        <v>437037.08</v>
      </c>
      <c r="D77" s="92">
        <f>D78+D79+D80+D81+D82</f>
        <v>443189.42000000004</v>
      </c>
      <c r="E77" s="13">
        <v>25.35</v>
      </c>
      <c r="F77" s="58"/>
      <c r="G77" s="92">
        <f>G78+G79+G80+G81</f>
        <v>436300.37</v>
      </c>
      <c r="H77" s="59">
        <f t="shared" si="0"/>
        <v>98.445574355091765</v>
      </c>
      <c r="I77" s="88">
        <f>I78+I79+I80+I81</f>
        <v>463361.2</v>
      </c>
      <c r="J77" s="88">
        <f>J78+J79+J80+J81</f>
        <v>7440</v>
      </c>
      <c r="K77" s="88">
        <f>K78+K79+K80+K81</f>
        <v>470801.2</v>
      </c>
      <c r="L77" s="87">
        <f t="shared" si="4"/>
        <v>7.9075866930848617</v>
      </c>
      <c r="M77" s="87">
        <f t="shared" si="3"/>
        <v>6.23024349272597</v>
      </c>
    </row>
    <row r="78" spans="1:14" ht="15.75" customHeight="1" x14ac:dyDescent="0.25">
      <c r="A78" s="14">
        <v>41</v>
      </c>
      <c r="B78" s="15" t="s">
        <v>31</v>
      </c>
      <c r="C78" s="17">
        <v>1300</v>
      </c>
      <c r="D78" s="16">
        <v>2800</v>
      </c>
      <c r="E78" s="18">
        <v>0</v>
      </c>
      <c r="F78" s="18"/>
      <c r="G78" s="16">
        <v>0</v>
      </c>
      <c r="H78" s="59">
        <f t="shared" ref="H78:H143" si="6">G78/D78*100</f>
        <v>0</v>
      </c>
      <c r="I78" s="74">
        <v>2800</v>
      </c>
      <c r="J78" s="74"/>
      <c r="K78" s="74">
        <v>2800</v>
      </c>
      <c r="L78" s="87"/>
      <c r="M78" s="87">
        <f t="shared" si="3"/>
        <v>0</v>
      </c>
    </row>
    <row r="79" spans="1:14" ht="15.75" customHeight="1" x14ac:dyDescent="0.25">
      <c r="A79" s="14">
        <v>45</v>
      </c>
      <c r="B79" s="15" t="s">
        <v>4</v>
      </c>
      <c r="C79" s="17">
        <v>95715.199999999997</v>
      </c>
      <c r="D79" s="16">
        <v>95821</v>
      </c>
      <c r="E79" s="18">
        <v>10.14</v>
      </c>
      <c r="F79" s="18"/>
      <c r="G79" s="16">
        <v>95820.85</v>
      </c>
      <c r="H79" s="59">
        <f t="shared" si="6"/>
        <v>99.999843458114611</v>
      </c>
      <c r="I79" s="74">
        <v>110000</v>
      </c>
      <c r="J79" s="74">
        <v>-15000</v>
      </c>
      <c r="K79" s="74">
        <f>110000-15000</f>
        <v>95000</v>
      </c>
      <c r="L79" s="87">
        <f t="shared" si="4"/>
        <v>-0.85665071850229446</v>
      </c>
      <c r="M79" s="87">
        <f t="shared" si="3"/>
        <v>-0.85680591937049277</v>
      </c>
    </row>
    <row r="80" spans="1:14" ht="15.75" customHeight="1" x14ac:dyDescent="0.25">
      <c r="A80" s="14">
        <v>50</v>
      </c>
      <c r="B80" s="52" t="s">
        <v>79</v>
      </c>
      <c r="C80" s="17">
        <v>156893.88</v>
      </c>
      <c r="D80" s="16">
        <v>166231.88</v>
      </c>
      <c r="E80" s="18">
        <v>15.74</v>
      </c>
      <c r="F80" s="18"/>
      <c r="G80" s="47">
        <v>164397.54999999999</v>
      </c>
      <c r="H80" s="59">
        <f t="shared" si="6"/>
        <v>98.896523338363238</v>
      </c>
      <c r="I80" s="77">
        <v>170461.2</v>
      </c>
      <c r="J80" s="77"/>
      <c r="K80" s="77">
        <v>170461.2</v>
      </c>
      <c r="L80" s="87">
        <f t="shared" si="4"/>
        <v>3.6884065486377531</v>
      </c>
      <c r="M80" s="87">
        <f t="shared" si="3"/>
        <v>2.5442291815504987</v>
      </c>
      <c r="N80" s="49"/>
    </row>
    <row r="81" spans="1:14" ht="15.75" customHeight="1" x14ac:dyDescent="0.25">
      <c r="A81" s="14">
        <v>55</v>
      </c>
      <c r="B81" s="52" t="s">
        <v>84</v>
      </c>
      <c r="C81" s="17">
        <v>183128</v>
      </c>
      <c r="D81" s="16">
        <v>177211.54</v>
      </c>
      <c r="E81" s="18">
        <v>39.979999999999997</v>
      </c>
      <c r="F81" s="18"/>
      <c r="G81" s="46">
        <v>176081.97</v>
      </c>
      <c r="H81" s="59">
        <f t="shared" si="6"/>
        <v>99.3625866577312</v>
      </c>
      <c r="I81" s="77">
        <v>180100</v>
      </c>
      <c r="J81" s="77">
        <v>22440</v>
      </c>
      <c r="K81" s="77">
        <f>180100+7440+15000</f>
        <v>202540</v>
      </c>
      <c r="L81" s="87">
        <f t="shared" si="4"/>
        <v>15.025973414540966</v>
      </c>
      <c r="M81" s="87">
        <f t="shared" si="3"/>
        <v>14.292782512922123</v>
      </c>
      <c r="N81" s="49"/>
    </row>
    <row r="82" spans="1:14" ht="15.75" customHeight="1" x14ac:dyDescent="0.25">
      <c r="A82" s="14">
        <v>60</v>
      </c>
      <c r="B82" s="15" t="s">
        <v>81</v>
      </c>
      <c r="C82" s="17">
        <v>0</v>
      </c>
      <c r="D82" s="17">
        <v>1125</v>
      </c>
      <c r="E82" s="18"/>
      <c r="F82" s="22"/>
      <c r="G82" s="124">
        <v>1125</v>
      </c>
      <c r="H82" s="59">
        <f t="shared" si="6"/>
        <v>100</v>
      </c>
      <c r="I82" s="77">
        <v>0</v>
      </c>
      <c r="J82" s="77"/>
      <c r="K82" s="77">
        <v>0</v>
      </c>
      <c r="L82" s="87"/>
      <c r="M82" s="87"/>
      <c r="N82" s="49"/>
    </row>
    <row r="83" spans="1:14" ht="15.75" customHeight="1" x14ac:dyDescent="0.25">
      <c r="A83" s="10">
        <v>8103</v>
      </c>
      <c r="B83" s="11" t="s">
        <v>32</v>
      </c>
      <c r="C83" s="92">
        <f>C84</f>
        <v>33275</v>
      </c>
      <c r="D83" s="92">
        <f>D84</f>
        <v>14700</v>
      </c>
      <c r="E83" s="13">
        <v>-36.200000000000003</v>
      </c>
      <c r="F83" s="58"/>
      <c r="G83" s="92">
        <f>G84</f>
        <v>3422.35</v>
      </c>
      <c r="H83" s="59">
        <f t="shared" si="6"/>
        <v>23.281292517006801</v>
      </c>
      <c r="I83" s="88">
        <f>I84</f>
        <v>25845.18</v>
      </c>
      <c r="J83" s="88">
        <f>J84</f>
        <v>0</v>
      </c>
      <c r="K83" s="88">
        <f>K84</f>
        <v>25845.18</v>
      </c>
      <c r="L83" s="87">
        <f t="shared" si="4"/>
        <v>655.18810174295447</v>
      </c>
      <c r="M83" s="87">
        <f t="shared" si="3"/>
        <v>75.817551020408175</v>
      </c>
    </row>
    <row r="84" spans="1:14" ht="18" customHeight="1" x14ac:dyDescent="0.25">
      <c r="A84" s="14">
        <v>55</v>
      </c>
      <c r="B84" s="15" t="s">
        <v>6</v>
      </c>
      <c r="C84" s="17">
        <v>33275</v>
      </c>
      <c r="D84" s="16">
        <v>14700</v>
      </c>
      <c r="E84" s="18">
        <v>-36.200000000000003</v>
      </c>
      <c r="F84" s="18"/>
      <c r="G84" s="47">
        <v>3422.35</v>
      </c>
      <c r="H84" s="59">
        <f t="shared" si="6"/>
        <v>23.281292517006801</v>
      </c>
      <c r="I84" s="77">
        <f>21000+3009.98+1835.2</f>
        <v>25845.18</v>
      </c>
      <c r="J84" s="77"/>
      <c r="K84" s="77">
        <f>21000+3009.98+1835.2</f>
        <v>25845.18</v>
      </c>
      <c r="L84" s="87">
        <f t="shared" si="4"/>
        <v>655.18810174295447</v>
      </c>
      <c r="M84" s="87">
        <f t="shared" si="3"/>
        <v>75.817551020408175</v>
      </c>
      <c r="N84" s="155"/>
    </row>
    <row r="85" spans="1:14" ht="15.75" customHeight="1" x14ac:dyDescent="0.25">
      <c r="A85" s="10">
        <v>8107</v>
      </c>
      <c r="B85" s="11" t="s">
        <v>33</v>
      </c>
      <c r="C85" s="92">
        <f>C87+C88</f>
        <v>25751.949999999997</v>
      </c>
      <c r="D85" s="92">
        <f>D86+D87+D88</f>
        <v>21885.03</v>
      </c>
      <c r="E85" s="13">
        <v>-0.63</v>
      </c>
      <c r="F85" s="58"/>
      <c r="G85" s="92">
        <f>G86+G87+G88</f>
        <v>20637.239999999998</v>
      </c>
      <c r="H85" s="59">
        <f t="shared" si="6"/>
        <v>94.298431393514193</v>
      </c>
      <c r="I85" s="88">
        <f>I86+I87+I88</f>
        <v>21885.03</v>
      </c>
      <c r="J85" s="88">
        <f>J86+J87+J88</f>
        <v>3000</v>
      </c>
      <c r="K85" s="88">
        <f>K86+K87+K88</f>
        <v>24885.03</v>
      </c>
      <c r="L85" s="87">
        <f t="shared" si="4"/>
        <v>20.583130302307872</v>
      </c>
      <c r="M85" s="87">
        <f t="shared" si="3"/>
        <v>13.708000400273612</v>
      </c>
    </row>
    <row r="86" spans="1:14" ht="15.75" customHeight="1" x14ac:dyDescent="0.25">
      <c r="A86" s="14">
        <v>45</v>
      </c>
      <c r="B86" s="15" t="s">
        <v>4</v>
      </c>
      <c r="C86" s="22">
        <v>0</v>
      </c>
      <c r="D86" s="18">
        <v>0</v>
      </c>
      <c r="E86" s="20"/>
      <c r="F86" s="20"/>
      <c r="G86" s="48">
        <v>0</v>
      </c>
      <c r="H86" s="59"/>
      <c r="I86" s="78">
        <v>0</v>
      </c>
      <c r="J86" s="78"/>
      <c r="K86" s="78">
        <v>0</v>
      </c>
      <c r="L86" s="87"/>
      <c r="M86" s="87"/>
    </row>
    <row r="87" spans="1:14" ht="15.75" customHeight="1" x14ac:dyDescent="0.25">
      <c r="A87" s="14">
        <v>50</v>
      </c>
      <c r="B87" s="15" t="s">
        <v>5</v>
      </c>
      <c r="C87" s="17">
        <v>5895.35</v>
      </c>
      <c r="D87" s="16">
        <v>7310.03</v>
      </c>
      <c r="E87" s="18">
        <v>0.19</v>
      </c>
      <c r="F87" s="18"/>
      <c r="G87" s="16">
        <v>6581.32</v>
      </c>
      <c r="H87" s="59">
        <f t="shared" si="6"/>
        <v>90.031367860323414</v>
      </c>
      <c r="I87" s="74">
        <v>7310.03</v>
      </c>
      <c r="J87" s="74"/>
      <c r="K87" s="74">
        <v>7310.03</v>
      </c>
      <c r="L87" s="87">
        <f t="shared" si="4"/>
        <v>11.072398850078709</v>
      </c>
      <c r="M87" s="87">
        <f t="shared" si="3"/>
        <v>0</v>
      </c>
    </row>
    <row r="88" spans="1:14" ht="15.75" customHeight="1" x14ac:dyDescent="0.25">
      <c r="A88" s="14">
        <v>55</v>
      </c>
      <c r="B88" s="15" t="s">
        <v>6</v>
      </c>
      <c r="C88" s="17">
        <v>19856.599999999999</v>
      </c>
      <c r="D88" s="16">
        <v>14575</v>
      </c>
      <c r="E88" s="18">
        <v>0.6</v>
      </c>
      <c r="F88" s="18"/>
      <c r="G88" s="16">
        <v>14055.92</v>
      </c>
      <c r="H88" s="59">
        <f t="shared" si="6"/>
        <v>96.438559176672385</v>
      </c>
      <c r="I88" s="74">
        <v>14575</v>
      </c>
      <c r="J88" s="74">
        <v>3000</v>
      </c>
      <c r="K88" s="74">
        <f>14575+3000</f>
        <v>17575</v>
      </c>
      <c r="L88" s="87">
        <f t="shared" si="4"/>
        <v>25.036283644186934</v>
      </c>
      <c r="M88" s="87">
        <f t="shared" si="3"/>
        <v>20.583190394511149</v>
      </c>
      <c r="N88" s="49"/>
    </row>
    <row r="89" spans="1:14" ht="15.75" customHeight="1" x14ac:dyDescent="0.25">
      <c r="A89" s="10">
        <v>8109</v>
      </c>
      <c r="B89" s="11" t="s">
        <v>34</v>
      </c>
      <c r="C89" s="92">
        <f>C90</f>
        <v>7500</v>
      </c>
      <c r="D89" s="92">
        <f t="shared" ref="D89:G89" si="7">D90</f>
        <v>6000</v>
      </c>
      <c r="E89" s="92">
        <f t="shared" si="7"/>
        <v>0.44</v>
      </c>
      <c r="F89" s="92">
        <f t="shared" si="7"/>
        <v>0</v>
      </c>
      <c r="G89" s="92">
        <f t="shared" si="7"/>
        <v>0</v>
      </c>
      <c r="H89" s="92">
        <f>H90</f>
        <v>0</v>
      </c>
      <c r="I89" s="92">
        <f t="shared" ref="I89:K89" si="8">I90</f>
        <v>6000</v>
      </c>
      <c r="J89" s="92">
        <f t="shared" si="8"/>
        <v>-6000</v>
      </c>
      <c r="K89" s="92">
        <f t="shared" si="8"/>
        <v>0</v>
      </c>
      <c r="L89" s="87"/>
      <c r="M89" s="87"/>
    </row>
    <row r="90" spans="1:14" ht="15.75" customHeight="1" x14ac:dyDescent="0.25">
      <c r="A90" s="14">
        <v>45</v>
      </c>
      <c r="B90" s="15" t="s">
        <v>4</v>
      </c>
      <c r="C90" s="17">
        <v>7500</v>
      </c>
      <c r="D90" s="16">
        <v>6000</v>
      </c>
      <c r="E90" s="18">
        <v>0.44</v>
      </c>
      <c r="F90" s="18"/>
      <c r="G90" s="16">
        <v>0</v>
      </c>
      <c r="H90" s="59">
        <f t="shared" si="6"/>
        <v>0</v>
      </c>
      <c r="I90" s="166">
        <v>6000</v>
      </c>
      <c r="J90" s="166">
        <v>-6000</v>
      </c>
      <c r="K90" s="166">
        <v>0</v>
      </c>
      <c r="L90" s="87"/>
      <c r="M90" s="87"/>
    </row>
    <row r="91" spans="1:14" ht="15.75" customHeight="1" x14ac:dyDescent="0.25">
      <c r="A91" s="10">
        <v>8201</v>
      </c>
      <c r="B91" s="11" t="s">
        <v>35</v>
      </c>
      <c r="C91" s="92">
        <f>C92+C93</f>
        <v>188885.05</v>
      </c>
      <c r="D91" s="92">
        <f>D92+D93</f>
        <v>205605.16</v>
      </c>
      <c r="E91" s="13">
        <v>-2.4</v>
      </c>
      <c r="F91" s="58"/>
      <c r="G91" s="92">
        <f>G92+G93</f>
        <v>202061.5</v>
      </c>
      <c r="H91" s="59">
        <f t="shared" si="6"/>
        <v>98.27647321691731</v>
      </c>
      <c r="I91" s="165">
        <f>I92+I93</f>
        <v>201246.05</v>
      </c>
      <c r="J91" s="165">
        <f>J92+J93</f>
        <v>12896.86</v>
      </c>
      <c r="K91" s="165">
        <f>K92+K93</f>
        <v>214142.90999999997</v>
      </c>
      <c r="L91" s="87">
        <f t="shared" si="4"/>
        <v>5.979075677454623</v>
      </c>
      <c r="M91" s="87">
        <f t="shared" si="3"/>
        <v>4.1524979236902277</v>
      </c>
    </row>
    <row r="92" spans="1:14" ht="15.75" customHeight="1" x14ac:dyDescent="0.25">
      <c r="A92" s="14">
        <v>50</v>
      </c>
      <c r="B92" s="15" t="s">
        <v>5</v>
      </c>
      <c r="C92" s="17">
        <v>146980.04999999999</v>
      </c>
      <c r="D92" s="16">
        <v>154393.16</v>
      </c>
      <c r="E92" s="18">
        <v>6.79</v>
      </c>
      <c r="F92" s="18"/>
      <c r="G92" s="47">
        <v>151106.18</v>
      </c>
      <c r="H92" s="59">
        <f t="shared" si="6"/>
        <v>97.871032628647541</v>
      </c>
      <c r="I92" s="77">
        <v>154396.04999999999</v>
      </c>
      <c r="J92" s="77">
        <v>5403.86</v>
      </c>
      <c r="K92" s="77">
        <f>154396.05+5403.86</f>
        <v>159799.90999999997</v>
      </c>
      <c r="L92" s="87">
        <f t="shared" si="4"/>
        <v>5.7533914231701058</v>
      </c>
      <c r="M92" s="87">
        <f t="shared" si="3"/>
        <v>3.5019362256721545</v>
      </c>
    </row>
    <row r="93" spans="1:14" ht="15.75" customHeight="1" x14ac:dyDescent="0.25">
      <c r="A93" s="14">
        <v>55</v>
      </c>
      <c r="B93" s="15" t="s">
        <v>6</v>
      </c>
      <c r="C93" s="17">
        <v>41905</v>
      </c>
      <c r="D93" s="16">
        <v>51212</v>
      </c>
      <c r="E93" s="18">
        <v>-26.79</v>
      </c>
      <c r="F93" s="18"/>
      <c r="G93" s="47">
        <v>50955.32</v>
      </c>
      <c r="H93" s="59">
        <f t="shared" si="6"/>
        <v>99.49878934624698</v>
      </c>
      <c r="I93" s="77">
        <v>46850</v>
      </c>
      <c r="J93" s="77">
        <v>7493</v>
      </c>
      <c r="K93" s="77">
        <f>43850+3000+7493</f>
        <v>54343</v>
      </c>
      <c r="L93" s="87">
        <f t="shared" si="4"/>
        <v>6.6483342661767209</v>
      </c>
      <c r="M93" s="87">
        <f t="shared" si="3"/>
        <v>6.1138014527845037</v>
      </c>
    </row>
    <row r="94" spans="1:14" ht="15.75" customHeight="1" x14ac:dyDescent="0.25">
      <c r="A94" s="10">
        <v>8202</v>
      </c>
      <c r="B94" s="11" t="s">
        <v>36</v>
      </c>
      <c r="C94" s="92">
        <f>C95+C96+C97</f>
        <v>297161.38</v>
      </c>
      <c r="D94" s="92">
        <f>D95+D96+D97</f>
        <v>302338.3</v>
      </c>
      <c r="E94" s="13">
        <v>5.48</v>
      </c>
      <c r="F94" s="58"/>
      <c r="G94" s="92">
        <f>G95+G96+G97</f>
        <v>266435.41000000003</v>
      </c>
      <c r="H94" s="59">
        <f t="shared" si="6"/>
        <v>88.124928267440822</v>
      </c>
      <c r="I94" s="88">
        <f>I95+I96+I97</f>
        <v>309378.28999999998</v>
      </c>
      <c r="J94" s="88">
        <f>J96</f>
        <v>2023.06</v>
      </c>
      <c r="K94" s="88">
        <f>K95+K96+K97</f>
        <v>311401.34999999998</v>
      </c>
      <c r="L94" s="87">
        <f t="shared" si="4"/>
        <v>16.876863326837803</v>
      </c>
      <c r="M94" s="87">
        <f t="shared" si="3"/>
        <v>2.9976519680106652</v>
      </c>
    </row>
    <row r="95" spans="1:14" ht="15.75" customHeight="1" x14ac:dyDescent="0.25">
      <c r="A95" s="14">
        <v>45</v>
      </c>
      <c r="B95" s="15" t="s">
        <v>4</v>
      </c>
      <c r="C95" s="17">
        <f>C99+C102</f>
        <v>119810</v>
      </c>
      <c r="D95" s="16">
        <f>D99+D102</f>
        <v>124581</v>
      </c>
      <c r="E95" s="18">
        <v>4.13</v>
      </c>
      <c r="F95" s="18"/>
      <c r="G95" s="16">
        <v>124581</v>
      </c>
      <c r="H95" s="59">
        <f t="shared" si="6"/>
        <v>100</v>
      </c>
      <c r="I95" s="74">
        <f>I99+I102</f>
        <v>129337</v>
      </c>
      <c r="J95" s="74"/>
      <c r="K95" s="74">
        <f>K99+K102</f>
        <v>129337</v>
      </c>
      <c r="L95" s="87">
        <f t="shared" si="4"/>
        <v>3.8175965837487258</v>
      </c>
      <c r="M95" s="87">
        <f t="shared" si="3"/>
        <v>3.8175965837487258</v>
      </c>
    </row>
    <row r="96" spans="1:14" ht="15.75" customHeight="1" x14ac:dyDescent="0.25">
      <c r="A96" s="14">
        <v>50</v>
      </c>
      <c r="B96" s="15" t="s">
        <v>5</v>
      </c>
      <c r="C96" s="17">
        <f>C103</f>
        <v>83342.880000000005</v>
      </c>
      <c r="D96" s="16">
        <f>D103</f>
        <v>79258.3</v>
      </c>
      <c r="E96" s="18">
        <v>10.23</v>
      </c>
      <c r="F96" s="18"/>
      <c r="G96" s="16">
        <v>66791.81</v>
      </c>
      <c r="H96" s="59">
        <f t="shared" si="6"/>
        <v>84.2710605703125</v>
      </c>
      <c r="I96" s="74">
        <f>I103</f>
        <v>82122.990000000005</v>
      </c>
      <c r="J96" s="74">
        <f>J103</f>
        <v>2023.06</v>
      </c>
      <c r="K96" s="74">
        <f>K103</f>
        <v>84146.05</v>
      </c>
      <c r="L96" s="87">
        <f t="shared" si="4"/>
        <v>25.982586787212391</v>
      </c>
      <c r="M96" s="87">
        <f t="shared" si="3"/>
        <v>6.1668620194982733</v>
      </c>
    </row>
    <row r="97" spans="1:14" ht="15.75" customHeight="1" x14ac:dyDescent="0.25">
      <c r="A97" s="14">
        <v>55</v>
      </c>
      <c r="B97" s="15" t="s">
        <v>6</v>
      </c>
      <c r="C97" s="17">
        <f>C100+C104</f>
        <v>94008.5</v>
      </c>
      <c r="D97" s="16">
        <f>D100+D104</f>
        <v>98499</v>
      </c>
      <c r="E97" s="18">
        <v>3.29</v>
      </c>
      <c r="F97" s="18"/>
      <c r="G97" s="16">
        <v>75062.600000000006</v>
      </c>
      <c r="H97" s="59">
        <f t="shared" si="6"/>
        <v>76.206458948821819</v>
      </c>
      <c r="I97" s="74">
        <f>I104+I100</f>
        <v>97918.3</v>
      </c>
      <c r="J97" s="74"/>
      <c r="K97" s="74">
        <f>K104+K100</f>
        <v>97918.3</v>
      </c>
      <c r="L97" s="87">
        <f t="shared" si="4"/>
        <v>30.448852024843259</v>
      </c>
      <c r="M97" s="87">
        <f t="shared" si="3"/>
        <v>-0.58954913247849938</v>
      </c>
    </row>
    <row r="98" spans="1:14" ht="15.75" customHeight="1" x14ac:dyDescent="0.25">
      <c r="A98" s="20"/>
      <c r="B98" s="125" t="s">
        <v>104</v>
      </c>
      <c r="C98" s="95">
        <f>C99+C100</f>
        <v>149770</v>
      </c>
      <c r="D98" s="95">
        <f>D99+D100</f>
        <v>156061</v>
      </c>
      <c r="E98" s="13">
        <v>3.26</v>
      </c>
      <c r="F98" s="58"/>
      <c r="G98" s="95">
        <f>G99+G100</f>
        <v>160869.74</v>
      </c>
      <c r="H98" s="59">
        <f t="shared" si="6"/>
        <v>103.08132076559806</v>
      </c>
      <c r="I98" s="89">
        <f>I99+I100</f>
        <v>161920</v>
      </c>
      <c r="J98" s="89">
        <f>J99+J100</f>
        <v>0</v>
      </c>
      <c r="K98" s="89">
        <f>K99+K100</f>
        <v>161920</v>
      </c>
      <c r="L98" s="87">
        <f t="shared" si="4"/>
        <v>0.65286361499683498</v>
      </c>
      <c r="M98" s="87">
        <f t="shared" si="3"/>
        <v>3.7543012027348279</v>
      </c>
    </row>
    <row r="99" spans="1:14" ht="15.75" customHeight="1" x14ac:dyDescent="0.25">
      <c r="A99" s="25">
        <v>45</v>
      </c>
      <c r="B99" s="26" t="s">
        <v>37</v>
      </c>
      <c r="C99" s="28">
        <v>119770</v>
      </c>
      <c r="D99" s="27">
        <v>124561</v>
      </c>
      <c r="E99" s="18">
        <v>4.1100000000000003</v>
      </c>
      <c r="F99" s="18"/>
      <c r="G99" s="44">
        <v>124561</v>
      </c>
      <c r="H99" s="59">
        <f t="shared" si="6"/>
        <v>100</v>
      </c>
      <c r="I99" s="79">
        <v>129317</v>
      </c>
      <c r="J99" s="79"/>
      <c r="K99" s="79">
        <v>129317</v>
      </c>
      <c r="L99" s="87">
        <f t="shared" si="4"/>
        <v>3.8182095519464361</v>
      </c>
      <c r="M99" s="87">
        <f t="shared" si="3"/>
        <v>3.8182095519464361</v>
      </c>
    </row>
    <row r="100" spans="1:14" ht="15.75" customHeight="1" x14ac:dyDescent="0.25">
      <c r="A100" s="25">
        <v>55</v>
      </c>
      <c r="B100" s="26" t="s">
        <v>38</v>
      </c>
      <c r="C100" s="28">
        <v>30000</v>
      </c>
      <c r="D100" s="27">
        <v>31500</v>
      </c>
      <c r="E100" s="18">
        <v>0</v>
      </c>
      <c r="F100" s="18"/>
      <c r="G100" s="27">
        <v>36308.74</v>
      </c>
      <c r="H100" s="59">
        <f t="shared" si="6"/>
        <v>115.26584126984127</v>
      </c>
      <c r="I100" s="79">
        <v>32603</v>
      </c>
      <c r="J100" s="79"/>
      <c r="K100" s="79">
        <v>32603</v>
      </c>
      <c r="L100" s="87">
        <f t="shared" si="4"/>
        <v>-10.206192778928704</v>
      </c>
      <c r="M100" s="87">
        <f t="shared" si="3"/>
        <v>3.5015873015873016</v>
      </c>
    </row>
    <row r="101" spans="1:14" ht="15.75" customHeight="1" x14ac:dyDescent="0.25">
      <c r="A101" s="20"/>
      <c r="B101" s="23" t="s">
        <v>39</v>
      </c>
      <c r="C101" s="95">
        <f>C102+C103+C104</f>
        <v>147391.38</v>
      </c>
      <c r="D101" s="95">
        <f>D102+D103+D104</f>
        <v>146277.29999999999</v>
      </c>
      <c r="E101" s="13">
        <v>7.8</v>
      </c>
      <c r="F101" s="58"/>
      <c r="G101" s="95">
        <f>G102+G103+G104</f>
        <v>147125.66</v>
      </c>
      <c r="H101" s="59">
        <f t="shared" si="6"/>
        <v>100.5799669531773</v>
      </c>
      <c r="I101" s="89">
        <f>I102+I103+I104</f>
        <v>147458.29</v>
      </c>
      <c r="J101" s="89">
        <f>J102+J103+J104</f>
        <v>2023.06</v>
      </c>
      <c r="K101" s="89">
        <f>K102+K103+K104</f>
        <v>149481.35</v>
      </c>
      <c r="L101" s="87">
        <f t="shared" si="4"/>
        <v>1.6011415004017668</v>
      </c>
      <c r="M101" s="87">
        <f t="shared" si="3"/>
        <v>2.190394545155002</v>
      </c>
    </row>
    <row r="102" spans="1:14" ht="15.75" customHeight="1" x14ac:dyDescent="0.25">
      <c r="A102" s="25">
        <v>45</v>
      </c>
      <c r="B102" s="26" t="s">
        <v>37</v>
      </c>
      <c r="C102" s="30">
        <v>40</v>
      </c>
      <c r="D102" s="29">
        <v>20</v>
      </c>
      <c r="E102" s="18">
        <v>100</v>
      </c>
      <c r="F102" s="18"/>
      <c r="G102" s="29">
        <v>20</v>
      </c>
      <c r="H102" s="59">
        <f t="shared" si="6"/>
        <v>100</v>
      </c>
      <c r="I102" s="80">
        <v>20</v>
      </c>
      <c r="J102" s="80"/>
      <c r="K102" s="80">
        <v>20</v>
      </c>
      <c r="L102" s="87">
        <f t="shared" si="4"/>
        <v>0</v>
      </c>
      <c r="M102" s="87">
        <f t="shared" si="3"/>
        <v>0</v>
      </c>
    </row>
    <row r="103" spans="1:14" ht="15.75" customHeight="1" x14ac:dyDescent="0.25">
      <c r="A103" s="25">
        <v>50</v>
      </c>
      <c r="B103" s="26" t="s">
        <v>40</v>
      </c>
      <c r="C103" s="28">
        <v>83342.880000000005</v>
      </c>
      <c r="D103" s="27">
        <v>79258.3</v>
      </c>
      <c r="E103" s="18">
        <v>10.23</v>
      </c>
      <c r="F103" s="18"/>
      <c r="G103" s="27">
        <v>81153.53</v>
      </c>
      <c r="H103" s="59">
        <f t="shared" si="6"/>
        <v>102.39120697769192</v>
      </c>
      <c r="I103" s="79">
        <v>82122.990000000005</v>
      </c>
      <c r="J103" s="79">
        <v>2023.06</v>
      </c>
      <c r="K103" s="79">
        <f>82122.99+2023.06</f>
        <v>84146.05</v>
      </c>
      <c r="L103" s="87">
        <f t="shared" si="4"/>
        <v>3.6874797682861162</v>
      </c>
      <c r="M103" s="87">
        <f t="shared" si="3"/>
        <v>6.1668620194982733</v>
      </c>
      <c r="N103" s="49"/>
    </row>
    <row r="104" spans="1:14" ht="15.75" customHeight="1" x14ac:dyDescent="0.25">
      <c r="A104" s="25">
        <v>55</v>
      </c>
      <c r="B104" s="26" t="s">
        <v>38</v>
      </c>
      <c r="C104" s="28">
        <v>64008.5</v>
      </c>
      <c r="D104" s="27">
        <v>66999</v>
      </c>
      <c r="E104" s="18">
        <v>4.8499999999999996</v>
      </c>
      <c r="F104" s="18"/>
      <c r="G104" s="27">
        <v>65952.13</v>
      </c>
      <c r="H104" s="59">
        <f t="shared" si="6"/>
        <v>98.43748414155435</v>
      </c>
      <c r="I104" s="79">
        <f>64750+565.3</f>
        <v>65315.3</v>
      </c>
      <c r="J104" s="79"/>
      <c r="K104" s="79">
        <f>64750+565.3</f>
        <v>65315.3</v>
      </c>
      <c r="L104" s="87">
        <f t="shared" si="4"/>
        <v>-0.96559428785696799</v>
      </c>
      <c r="M104" s="87">
        <f t="shared" si="3"/>
        <v>-2.5130225824265993</v>
      </c>
      <c r="N104" s="39"/>
    </row>
    <row r="105" spans="1:14" ht="15.75" customHeight="1" x14ac:dyDescent="0.25">
      <c r="A105" s="10">
        <v>8300</v>
      </c>
      <c r="B105" s="11" t="s">
        <v>41</v>
      </c>
      <c r="C105" s="92">
        <f>C106</f>
        <v>25680</v>
      </c>
      <c r="D105" s="92">
        <f>D106</f>
        <v>25680</v>
      </c>
      <c r="E105" s="13">
        <v>0</v>
      </c>
      <c r="F105" s="58"/>
      <c r="G105" s="92">
        <f>G106</f>
        <v>25680</v>
      </c>
      <c r="H105" s="59">
        <f t="shared" si="6"/>
        <v>100</v>
      </c>
      <c r="I105" s="88">
        <f>I106</f>
        <v>25680</v>
      </c>
      <c r="J105" s="88">
        <f>J106</f>
        <v>3206.4</v>
      </c>
      <c r="K105" s="88">
        <f>K106</f>
        <v>28886.400000000001</v>
      </c>
      <c r="L105" s="87">
        <f t="shared" si="4"/>
        <v>12.485981308411221</v>
      </c>
      <c r="M105" s="87">
        <f t="shared" si="3"/>
        <v>12.485981308411221</v>
      </c>
    </row>
    <row r="106" spans="1:14" ht="15.75" customHeight="1" x14ac:dyDescent="0.25">
      <c r="A106" s="14">
        <v>45</v>
      </c>
      <c r="B106" s="15" t="s">
        <v>4</v>
      </c>
      <c r="C106" s="17">
        <v>25680</v>
      </c>
      <c r="D106" s="16">
        <v>25680</v>
      </c>
      <c r="E106" s="18">
        <v>0</v>
      </c>
      <c r="F106" s="18"/>
      <c r="G106" s="16">
        <v>25680</v>
      </c>
      <c r="H106" s="59">
        <f t="shared" si="6"/>
        <v>100</v>
      </c>
      <c r="I106" s="74">
        <f>25680</f>
        <v>25680</v>
      </c>
      <c r="J106" s="74">
        <v>3206.4</v>
      </c>
      <c r="K106" s="74">
        <f>25680+3206.4</f>
        <v>28886.400000000001</v>
      </c>
      <c r="L106" s="87">
        <f t="shared" si="4"/>
        <v>12.485981308411221</v>
      </c>
      <c r="M106" s="87">
        <f t="shared" si="3"/>
        <v>12.485981308411221</v>
      </c>
    </row>
    <row r="107" spans="1:14" ht="15.75" customHeight="1" x14ac:dyDescent="0.25">
      <c r="A107" s="10">
        <v>8400</v>
      </c>
      <c r="B107" s="11" t="s">
        <v>42</v>
      </c>
      <c r="C107" s="92">
        <f>C108</f>
        <v>31044</v>
      </c>
      <c r="D107" s="92">
        <f>D108</f>
        <v>41398</v>
      </c>
      <c r="E107" s="13">
        <v>42.8</v>
      </c>
      <c r="F107" s="58"/>
      <c r="G107" s="92">
        <f>G108</f>
        <v>29861.25</v>
      </c>
      <c r="H107" s="59">
        <f t="shared" si="6"/>
        <v>72.132107831296196</v>
      </c>
      <c r="I107" s="88">
        <f>I108</f>
        <v>50734</v>
      </c>
      <c r="J107" s="88">
        <f>J108</f>
        <v>0</v>
      </c>
      <c r="K107" s="88">
        <f>K108</f>
        <v>50734</v>
      </c>
      <c r="L107" s="87">
        <f t="shared" si="4"/>
        <v>69.899116748294205</v>
      </c>
      <c r="M107" s="87">
        <f t="shared" si="3"/>
        <v>22.551814097299385</v>
      </c>
    </row>
    <row r="108" spans="1:14" ht="15.75" customHeight="1" x14ac:dyDescent="0.25">
      <c r="A108" s="14">
        <v>45</v>
      </c>
      <c r="B108" s="15" t="s">
        <v>4</v>
      </c>
      <c r="C108" s="17">
        <v>31044</v>
      </c>
      <c r="D108" s="16">
        <v>41398</v>
      </c>
      <c r="E108" s="18">
        <v>42.8</v>
      </c>
      <c r="F108" s="18"/>
      <c r="G108" s="16">
        <v>29861.25</v>
      </c>
      <c r="H108" s="59">
        <f t="shared" si="6"/>
        <v>72.132107831296196</v>
      </c>
      <c r="I108" s="74">
        <v>50734</v>
      </c>
      <c r="J108" s="74"/>
      <c r="K108" s="74">
        <v>50734</v>
      </c>
      <c r="L108" s="87">
        <f t="shared" si="4"/>
        <v>69.899116748294205</v>
      </c>
      <c r="M108" s="87">
        <f t="shared" si="3"/>
        <v>22.551814097299385</v>
      </c>
      <c r="N108" s="49"/>
    </row>
    <row r="109" spans="1:14" ht="15.75" customHeight="1" x14ac:dyDescent="0.25">
      <c r="A109" s="31">
        <v>86001</v>
      </c>
      <c r="B109" s="21" t="s">
        <v>43</v>
      </c>
      <c r="C109" s="92">
        <f>C110+C111+C112</f>
        <v>26271.8</v>
      </c>
      <c r="D109" s="92">
        <f>D110+D111+D112</f>
        <v>36280</v>
      </c>
      <c r="E109" s="13">
        <v>0</v>
      </c>
      <c r="F109" s="58"/>
      <c r="G109" s="92">
        <f>G110+G111+G112</f>
        <v>32132.16</v>
      </c>
      <c r="H109" s="59">
        <f t="shared" si="6"/>
        <v>88.567144432194041</v>
      </c>
      <c r="I109" s="88">
        <f>I110+I111+I112</f>
        <v>37057.599999999999</v>
      </c>
      <c r="J109" s="88">
        <f>J110+J111+J112</f>
        <v>0</v>
      </c>
      <c r="K109" s="88">
        <f>K110+K111+K112</f>
        <v>37057.599999999999</v>
      </c>
      <c r="L109" s="87">
        <f t="shared" si="4"/>
        <v>15.3286924999751</v>
      </c>
      <c r="M109" s="87">
        <f t="shared" si="3"/>
        <v>2.1433296582138879</v>
      </c>
    </row>
    <row r="110" spans="1:14" ht="15.75" customHeight="1" x14ac:dyDescent="0.25">
      <c r="A110" s="14">
        <v>41</v>
      </c>
      <c r="B110" s="15" t="s">
        <v>31</v>
      </c>
      <c r="C110" s="17">
        <v>2800</v>
      </c>
      <c r="D110" s="16">
        <v>2800</v>
      </c>
      <c r="E110" s="18">
        <v>0</v>
      </c>
      <c r="F110" s="18"/>
      <c r="G110" s="16">
        <v>2700</v>
      </c>
      <c r="H110" s="59">
        <f t="shared" si="6"/>
        <v>96.428571428571431</v>
      </c>
      <c r="I110" s="74">
        <v>2800</v>
      </c>
      <c r="J110" s="74"/>
      <c r="K110" s="74">
        <v>2800</v>
      </c>
      <c r="L110" s="87">
        <f t="shared" si="4"/>
        <v>3.7037037037037033</v>
      </c>
      <c r="M110" s="87">
        <f t="shared" si="3"/>
        <v>0</v>
      </c>
    </row>
    <row r="111" spans="1:14" ht="15.75" customHeight="1" x14ac:dyDescent="0.25">
      <c r="A111" s="14">
        <v>50</v>
      </c>
      <c r="B111" s="15" t="s">
        <v>5</v>
      </c>
      <c r="C111" s="17">
        <v>1471.8</v>
      </c>
      <c r="D111" s="16">
        <v>265</v>
      </c>
      <c r="E111" s="18">
        <v>0</v>
      </c>
      <c r="F111" s="18"/>
      <c r="G111" s="16">
        <v>2087.39</v>
      </c>
      <c r="H111" s="59">
        <f t="shared" si="6"/>
        <v>787.69433962264145</v>
      </c>
      <c r="I111" s="74">
        <v>267.60000000000002</v>
      </c>
      <c r="J111" s="74"/>
      <c r="K111" s="74">
        <v>267.60000000000002</v>
      </c>
      <c r="L111" s="87">
        <f t="shared" si="4"/>
        <v>-87.180162787021118</v>
      </c>
      <c r="M111" s="87">
        <f t="shared" si="3"/>
        <v>0.98113207547170667</v>
      </c>
    </row>
    <row r="112" spans="1:14" ht="15.75" customHeight="1" x14ac:dyDescent="0.25">
      <c r="A112" s="14">
        <v>55</v>
      </c>
      <c r="B112" s="15" t="s">
        <v>6</v>
      </c>
      <c r="C112" s="17">
        <v>22000</v>
      </c>
      <c r="D112" s="16">
        <v>33215</v>
      </c>
      <c r="E112" s="18">
        <v>0</v>
      </c>
      <c r="F112" s="18"/>
      <c r="G112" s="16">
        <v>27344.77</v>
      </c>
      <c r="H112" s="59">
        <f t="shared" si="6"/>
        <v>82.326569321089877</v>
      </c>
      <c r="I112" s="74">
        <v>33990</v>
      </c>
      <c r="J112" s="74"/>
      <c r="K112" s="74">
        <v>33990</v>
      </c>
      <c r="L112" s="87">
        <f t="shared" si="4"/>
        <v>24.30164890763389</v>
      </c>
      <c r="M112" s="87">
        <f t="shared" si="3"/>
        <v>2.3332831552009634</v>
      </c>
      <c r="N112" s="49"/>
    </row>
    <row r="113" spans="1:15" ht="15.75" customHeight="1" x14ac:dyDescent="0.25">
      <c r="A113" s="31">
        <v>86002</v>
      </c>
      <c r="B113" s="11" t="s">
        <v>44</v>
      </c>
      <c r="C113" s="92">
        <f>C114</f>
        <v>5941</v>
      </c>
      <c r="D113" s="92">
        <f>D114</f>
        <v>5900</v>
      </c>
      <c r="E113" s="18">
        <v>-19.21</v>
      </c>
      <c r="F113" s="22"/>
      <c r="G113" s="92">
        <f>G114</f>
        <v>2950</v>
      </c>
      <c r="H113" s="59">
        <f t="shared" si="6"/>
        <v>50</v>
      </c>
      <c r="I113" s="88">
        <f>I114</f>
        <v>5941</v>
      </c>
      <c r="J113" s="88">
        <f>J114</f>
        <v>0</v>
      </c>
      <c r="K113" s="88">
        <f>K114</f>
        <v>5941</v>
      </c>
      <c r="L113" s="87">
        <f t="shared" si="4"/>
        <v>101.38983050847456</v>
      </c>
      <c r="M113" s="87">
        <f t="shared" si="3"/>
        <v>0.69491525423728806</v>
      </c>
    </row>
    <row r="114" spans="1:15" ht="15.75" customHeight="1" x14ac:dyDescent="0.25">
      <c r="A114" s="14">
        <v>45</v>
      </c>
      <c r="B114" s="15" t="s">
        <v>4</v>
      </c>
      <c r="C114" s="17">
        <v>5941</v>
      </c>
      <c r="D114" s="16">
        <v>5900</v>
      </c>
      <c r="E114" s="18">
        <v>-19.21</v>
      </c>
      <c r="F114" s="18"/>
      <c r="G114" s="16">
        <v>2950</v>
      </c>
      <c r="H114" s="59">
        <f t="shared" si="6"/>
        <v>50</v>
      </c>
      <c r="I114" s="74">
        <v>5941</v>
      </c>
      <c r="J114" s="74"/>
      <c r="K114" s="74">
        <v>5941</v>
      </c>
      <c r="L114" s="87">
        <f t="shared" si="4"/>
        <v>101.38983050847456</v>
      </c>
      <c r="M114" s="87">
        <f t="shared" si="3"/>
        <v>0.69491525423728806</v>
      </c>
    </row>
    <row r="115" spans="1:15" ht="15.75" customHeight="1" x14ac:dyDescent="0.25">
      <c r="A115" s="2">
        <v>9</v>
      </c>
      <c r="B115" s="3" t="s">
        <v>45</v>
      </c>
      <c r="C115" s="92">
        <f>C117+C118+C119+C116+C120</f>
        <v>8096034.0600000015</v>
      </c>
      <c r="D115" s="92">
        <f>D117+D118+D119+D116</f>
        <v>8403531</v>
      </c>
      <c r="E115" s="5">
        <v>5.0199999999999996</v>
      </c>
      <c r="F115" s="5"/>
      <c r="G115" s="94">
        <f>G116+G117+G118+G119</f>
        <v>8069400.3999999994</v>
      </c>
      <c r="H115" s="59">
        <f t="shared" si="6"/>
        <v>96.023926132955296</v>
      </c>
      <c r="I115" s="98">
        <f>I116+I117+I118+I119</f>
        <v>8482123.7199999988</v>
      </c>
      <c r="J115" s="98">
        <f>J116+J117+J118+J119</f>
        <v>267677.46999999997</v>
      </c>
      <c r="K115" s="98">
        <f>K116+K117+K118+K119</f>
        <v>8711275.2899999991</v>
      </c>
      <c r="L115" s="87">
        <f t="shared" si="4"/>
        <v>7.9544310380235892</v>
      </c>
      <c r="M115" s="87">
        <f t="shared" si="3"/>
        <v>3.6620831172039363</v>
      </c>
    </row>
    <row r="116" spans="1:15" ht="15.75" customHeight="1" x14ac:dyDescent="0.25">
      <c r="A116" s="6">
        <v>41</v>
      </c>
      <c r="B116" s="1" t="s">
        <v>3</v>
      </c>
      <c r="C116" s="8">
        <f>C162</f>
        <v>5000</v>
      </c>
      <c r="D116" s="8">
        <f>D162</f>
        <v>2500</v>
      </c>
      <c r="E116" s="9">
        <v>0</v>
      </c>
      <c r="F116" s="32"/>
      <c r="G116" s="8">
        <f>G162</f>
        <v>462</v>
      </c>
      <c r="H116" s="59">
        <f t="shared" si="6"/>
        <v>18.48</v>
      </c>
      <c r="I116" s="56">
        <f>I162</f>
        <v>4500</v>
      </c>
      <c r="J116" s="56"/>
      <c r="K116" s="56">
        <f>K162</f>
        <v>4500</v>
      </c>
      <c r="L116" s="87">
        <f t="shared" si="4"/>
        <v>874.02597402597394</v>
      </c>
      <c r="M116" s="87">
        <f t="shared" si="3"/>
        <v>80</v>
      </c>
    </row>
    <row r="117" spans="1:15" ht="15.75" customHeight="1" x14ac:dyDescent="0.25">
      <c r="A117" s="6">
        <v>45</v>
      </c>
      <c r="B117" s="1" t="s">
        <v>4</v>
      </c>
      <c r="C117" s="32">
        <f>C122+C140+C158+C163</f>
        <v>828</v>
      </c>
      <c r="D117" s="9">
        <f>D122+D140+D158+D163+D167</f>
        <v>12100</v>
      </c>
      <c r="E117" s="9">
        <v>25.84</v>
      </c>
      <c r="F117" s="9"/>
      <c r="G117" s="9">
        <f>G122+G140+G158+G163+G167</f>
        <v>10655.880000000001</v>
      </c>
      <c r="H117" s="59">
        <f t="shared" si="6"/>
        <v>88.065123966942167</v>
      </c>
      <c r="I117" s="81">
        <f>I122+I140+I158++I167+I163</f>
        <v>11608</v>
      </c>
      <c r="J117" s="81"/>
      <c r="K117" s="81">
        <f>K122+K140+K158++K167+K163</f>
        <v>11608</v>
      </c>
      <c r="L117" s="87">
        <f t="shared" si="4"/>
        <v>8.9351606812388926</v>
      </c>
      <c r="M117" s="87">
        <f t="shared" si="3"/>
        <v>-4.0661157024793386</v>
      </c>
    </row>
    <row r="118" spans="1:15" ht="15.75" customHeight="1" x14ac:dyDescent="0.25">
      <c r="A118" s="6">
        <v>50</v>
      </c>
      <c r="B118" s="1" t="s">
        <v>5</v>
      </c>
      <c r="C118" s="8">
        <f>C123+C141+C159+C164+C177</f>
        <v>6024817.5300000012</v>
      </c>
      <c r="D118" s="8">
        <f>D123+D141+D159+D164+D177</f>
        <v>6143704.5899999999</v>
      </c>
      <c r="E118" s="9">
        <v>8.5299999999999994</v>
      </c>
      <c r="F118" s="9"/>
      <c r="G118" s="7">
        <f>G123+G141+G159+G164+G177</f>
        <v>5973152.0099999998</v>
      </c>
      <c r="H118" s="59">
        <f t="shared" si="6"/>
        <v>97.223945625940317</v>
      </c>
      <c r="I118" s="56">
        <f>I123+I141+I159+I164+I177</f>
        <v>6218909.0099999998</v>
      </c>
      <c r="J118" s="56">
        <f>J123+J141+J159</f>
        <v>260254.46999999997</v>
      </c>
      <c r="K118" s="56">
        <f>K123+K141+K159+K164+K177</f>
        <v>6440637.5800000001</v>
      </c>
      <c r="L118" s="87">
        <f t="shared" si="4"/>
        <v>7.8264468946605685</v>
      </c>
      <c r="M118" s="87">
        <f t="shared" si="3"/>
        <v>4.8331260992482097</v>
      </c>
    </row>
    <row r="119" spans="1:15" ht="15.75" customHeight="1" x14ac:dyDescent="0.25">
      <c r="A119" s="6">
        <v>55</v>
      </c>
      <c r="B119" s="1" t="s">
        <v>6</v>
      </c>
      <c r="C119" s="8">
        <f>C124+C142+C156+C160+C165+C166+C170+C178</f>
        <v>2063599.0699999998</v>
      </c>
      <c r="D119" s="8">
        <f>D124+D142+D156+D160+D165+D168+D170+D178+D175</f>
        <v>2245226.41</v>
      </c>
      <c r="E119" s="9">
        <v>-3.73</v>
      </c>
      <c r="F119" s="9"/>
      <c r="G119" s="7">
        <f>G124+G142+G156+G160+G165+G168+G170+G178+G175</f>
        <v>2085130.51</v>
      </c>
      <c r="H119" s="59">
        <f t="shared" si="6"/>
        <v>92.869498626644059</v>
      </c>
      <c r="I119" s="56">
        <f>I124+I142+I156+I160+I165+I168+I170+I178+I175</f>
        <v>2247106.71</v>
      </c>
      <c r="J119" s="56">
        <f>J142+J156+J165+J178</f>
        <v>7423</v>
      </c>
      <c r="K119" s="56">
        <f>K124+K142+K156+K160+K165+K168+K170+K178+K175</f>
        <v>2254529.71</v>
      </c>
      <c r="L119" s="87">
        <f t="shared" si="4"/>
        <v>8.1241533413656661</v>
      </c>
      <c r="M119" s="87">
        <f t="shared" si="3"/>
        <v>0.41435910243011143</v>
      </c>
    </row>
    <row r="120" spans="1:15" ht="15.75" customHeight="1" x14ac:dyDescent="0.25">
      <c r="A120" s="6">
        <v>60</v>
      </c>
      <c r="B120" s="117" t="s">
        <v>81</v>
      </c>
      <c r="C120" s="8">
        <f>C125</f>
        <v>1789.46</v>
      </c>
      <c r="D120" s="8">
        <v>0</v>
      </c>
      <c r="E120" s="32"/>
      <c r="F120" s="32"/>
      <c r="G120" s="8">
        <v>0</v>
      </c>
      <c r="H120" s="59"/>
      <c r="I120" s="56">
        <v>0</v>
      </c>
      <c r="J120" s="56"/>
      <c r="K120" s="56">
        <v>0</v>
      </c>
      <c r="L120" s="87"/>
      <c r="M120" s="87"/>
    </row>
    <row r="121" spans="1:15" ht="15.75" customHeight="1" x14ac:dyDescent="0.25">
      <c r="A121" s="10">
        <v>9110</v>
      </c>
      <c r="B121" s="11" t="s">
        <v>46</v>
      </c>
      <c r="C121" s="92">
        <f>C122+C124+C123+C125</f>
        <v>2906425.64</v>
      </c>
      <c r="D121" s="92">
        <f>D122+D124+D123</f>
        <v>2992634.82</v>
      </c>
      <c r="E121" s="12">
        <f>E122+E124+E123</f>
        <v>24.67</v>
      </c>
      <c r="F121" s="12"/>
      <c r="G121" s="92">
        <f>G122+G124+G123</f>
        <v>2799834.83</v>
      </c>
      <c r="H121" s="59">
        <f t="shared" si="6"/>
        <v>93.557516984314177</v>
      </c>
      <c r="I121" s="88">
        <f>I122+I124+I123</f>
        <v>2944321.83</v>
      </c>
      <c r="J121" s="88">
        <f>J122+J124+J123</f>
        <v>80252.53</v>
      </c>
      <c r="K121" s="88">
        <f>K122+K124+K123</f>
        <v>3024574.3600000003</v>
      </c>
      <c r="L121" s="87">
        <f t="shared" si="4"/>
        <v>8.0268852859438233</v>
      </c>
      <c r="M121" s="87">
        <f t="shared" si="3"/>
        <v>1.0672715490224933</v>
      </c>
      <c r="O121" s="38"/>
    </row>
    <row r="122" spans="1:15" ht="15.75" customHeight="1" x14ac:dyDescent="0.25">
      <c r="A122" s="14">
        <v>45</v>
      </c>
      <c r="B122" s="26" t="s">
        <v>37</v>
      </c>
      <c r="C122" s="22">
        <f>C127</f>
        <v>150</v>
      </c>
      <c r="D122" s="18">
        <f>D127</f>
        <v>150</v>
      </c>
      <c r="E122" s="20"/>
      <c r="F122" s="20"/>
      <c r="G122" s="18">
        <v>150</v>
      </c>
      <c r="H122" s="59">
        <f t="shared" si="6"/>
        <v>100</v>
      </c>
      <c r="I122" s="75">
        <v>150</v>
      </c>
      <c r="J122" s="75"/>
      <c r="K122" s="75">
        <v>150</v>
      </c>
      <c r="L122" s="87">
        <f t="shared" si="4"/>
        <v>0</v>
      </c>
      <c r="M122" s="87">
        <f t="shared" si="3"/>
        <v>0</v>
      </c>
    </row>
    <row r="123" spans="1:15" ht="15.75" customHeight="1" x14ac:dyDescent="0.25">
      <c r="A123" s="14">
        <v>50</v>
      </c>
      <c r="B123" s="15" t="s">
        <v>5</v>
      </c>
      <c r="C123" s="17">
        <f>C128+C131+C135</f>
        <v>2178792.4900000002</v>
      </c>
      <c r="D123" s="16">
        <f>D128+D131+D135</f>
        <v>2269306.21</v>
      </c>
      <c r="E123" s="18">
        <v>46.09</v>
      </c>
      <c r="F123" s="18"/>
      <c r="G123" s="16">
        <f>G128+G131+G135</f>
        <v>2133777.06</v>
      </c>
      <c r="H123" s="59">
        <f t="shared" si="6"/>
        <v>94.027727531755176</v>
      </c>
      <c r="I123" s="74">
        <f>I128+I131+I135</f>
        <v>2288188.83</v>
      </c>
      <c r="J123" s="74">
        <f>J131+J135</f>
        <v>80252.53</v>
      </c>
      <c r="K123" s="74">
        <f>K128+K131+K135</f>
        <v>2368441.3600000003</v>
      </c>
      <c r="L123" s="87">
        <f t="shared" si="4"/>
        <v>10.997601595735604</v>
      </c>
      <c r="M123" s="87">
        <f t="shared" si="3"/>
        <v>4.3685223952214178</v>
      </c>
    </row>
    <row r="124" spans="1:15" ht="15.75" customHeight="1" x14ac:dyDescent="0.25">
      <c r="A124" s="14">
        <v>55</v>
      </c>
      <c r="B124" s="15" t="s">
        <v>6</v>
      </c>
      <c r="C124" s="17">
        <f>C129+C132+C136+C138</f>
        <v>725693.69</v>
      </c>
      <c r="D124" s="16">
        <f>D129+D132+D136+D138</f>
        <v>723178.61</v>
      </c>
      <c r="E124" s="18">
        <v>-21.42</v>
      </c>
      <c r="F124" s="18"/>
      <c r="G124" s="16">
        <f>G129+G132+G136+G138</f>
        <v>665907.77</v>
      </c>
      <c r="H124" s="59">
        <f t="shared" si="6"/>
        <v>92.080678381790079</v>
      </c>
      <c r="I124" s="74">
        <f>I129+I132+I136+I138</f>
        <v>655983</v>
      </c>
      <c r="J124" s="74"/>
      <c r="K124" s="74">
        <f>K129+K132+K136+K138</f>
        <v>655983</v>
      </c>
      <c r="L124" s="87">
        <f t="shared" si="4"/>
        <v>-1.4904121031655808</v>
      </c>
      <c r="M124" s="87">
        <f t="shared" si="3"/>
        <v>-9.2917031934890879</v>
      </c>
    </row>
    <row r="125" spans="1:15" ht="15.75" customHeight="1" x14ac:dyDescent="0.25">
      <c r="A125" s="14">
        <v>60</v>
      </c>
      <c r="B125" s="15" t="s">
        <v>81</v>
      </c>
      <c r="C125" s="17">
        <f>C133</f>
        <v>1789.46</v>
      </c>
      <c r="D125" s="17">
        <v>0</v>
      </c>
      <c r="E125" s="22"/>
      <c r="F125" s="22"/>
      <c r="G125" s="17">
        <v>0</v>
      </c>
      <c r="H125" s="59"/>
      <c r="I125" s="74">
        <v>0</v>
      </c>
      <c r="J125" s="74"/>
      <c r="K125" s="74">
        <v>0</v>
      </c>
      <c r="L125" s="87"/>
      <c r="M125" s="87"/>
    </row>
    <row r="126" spans="1:15" ht="15.75" customHeight="1" x14ac:dyDescent="0.25">
      <c r="A126" s="33">
        <v>91101</v>
      </c>
      <c r="B126" s="23" t="s">
        <v>47</v>
      </c>
      <c r="C126" s="95">
        <f>C127+C128+C129</f>
        <v>1597834.62</v>
      </c>
      <c r="D126" s="95">
        <f>D127+D128+D129</f>
        <v>1667015.48</v>
      </c>
      <c r="E126" s="24">
        <f>E127+E128+E129</f>
        <v>-12.500000000000002</v>
      </c>
      <c r="F126" s="24"/>
      <c r="G126" s="95">
        <f>G127+G128+G129</f>
        <v>1536094.2999999998</v>
      </c>
      <c r="H126" s="59">
        <f t="shared" si="6"/>
        <v>92.146372869914799</v>
      </c>
      <c r="I126" s="89">
        <f>I127+I128+I129</f>
        <v>1640776.3</v>
      </c>
      <c r="J126" s="89">
        <f>J127+J128+J129</f>
        <v>0</v>
      </c>
      <c r="K126" s="89">
        <f>K127+K128+K129</f>
        <v>1640776.3</v>
      </c>
      <c r="L126" s="87">
        <f t="shared" si="4"/>
        <v>6.814815991440125</v>
      </c>
      <c r="M126" s="87">
        <f t="shared" si="3"/>
        <v>-1.574021376214211</v>
      </c>
    </row>
    <row r="127" spans="1:15" ht="15.75" customHeight="1" x14ac:dyDescent="0.25">
      <c r="A127" s="25">
        <v>45</v>
      </c>
      <c r="B127" s="26" t="s">
        <v>37</v>
      </c>
      <c r="C127" s="30">
        <v>150</v>
      </c>
      <c r="D127" s="29">
        <v>150</v>
      </c>
      <c r="E127" s="20"/>
      <c r="F127" s="20"/>
      <c r="G127" s="29">
        <v>150</v>
      </c>
      <c r="H127" s="59">
        <f t="shared" si="6"/>
        <v>100</v>
      </c>
      <c r="I127" s="80">
        <v>150</v>
      </c>
      <c r="J127" s="80"/>
      <c r="K127" s="80">
        <v>150</v>
      </c>
      <c r="L127" s="87">
        <f t="shared" si="4"/>
        <v>0</v>
      </c>
      <c r="M127" s="87">
        <f t="shared" si="3"/>
        <v>0</v>
      </c>
    </row>
    <row r="128" spans="1:15" ht="15.75" customHeight="1" x14ac:dyDescent="0.25">
      <c r="A128" s="25">
        <v>50</v>
      </c>
      <c r="B128" s="26" t="s">
        <v>40</v>
      </c>
      <c r="C128" s="28">
        <v>1355253.51</v>
      </c>
      <c r="D128" s="27">
        <v>1423004.47</v>
      </c>
      <c r="E128" s="29">
        <v>14.69</v>
      </c>
      <c r="F128" s="29"/>
      <c r="G128" s="27">
        <v>1311425.93</v>
      </c>
      <c r="H128" s="59">
        <f t="shared" si="6"/>
        <v>92.158946626499343</v>
      </c>
      <c r="I128" s="79">
        <f>1410914.3+500</f>
        <v>1411414.3</v>
      </c>
      <c r="J128" s="79"/>
      <c r="K128" s="79">
        <f>1410914.3+500</f>
        <v>1411414.3</v>
      </c>
      <c r="L128" s="87">
        <f t="shared" si="4"/>
        <v>7.624400868755135</v>
      </c>
      <c r="M128" s="87">
        <f t="shared" si="3"/>
        <v>-0.81448584627425136</v>
      </c>
    </row>
    <row r="129" spans="1:20" ht="15.75" customHeight="1" x14ac:dyDescent="0.25">
      <c r="A129" s="25">
        <v>55</v>
      </c>
      <c r="B129" s="26" t="s">
        <v>38</v>
      </c>
      <c r="C129" s="28">
        <v>242431.11</v>
      </c>
      <c r="D129" s="27">
        <v>243861.01</v>
      </c>
      <c r="E129" s="29">
        <v>-27.19</v>
      </c>
      <c r="F129" s="29"/>
      <c r="G129" s="27">
        <v>224518.37</v>
      </c>
      <c r="H129" s="59">
        <f t="shared" si="6"/>
        <v>92.068170307340225</v>
      </c>
      <c r="I129" s="79">
        <f>229212</f>
        <v>229212</v>
      </c>
      <c r="J129" s="79"/>
      <c r="K129" s="79">
        <f>229212</f>
        <v>229212</v>
      </c>
      <c r="L129" s="87">
        <f t="shared" si="4"/>
        <v>2.0905327256740751</v>
      </c>
      <c r="M129" s="87">
        <f t="shared" si="3"/>
        <v>-6.0071144624554815</v>
      </c>
    </row>
    <row r="130" spans="1:20" ht="15.75" customHeight="1" x14ac:dyDescent="0.25">
      <c r="A130" s="33">
        <v>91102</v>
      </c>
      <c r="B130" s="23" t="s">
        <v>48</v>
      </c>
      <c r="C130" s="95">
        <f>C131+C132+C133</f>
        <v>770148.1</v>
      </c>
      <c r="D130" s="95">
        <f>D131+D132</f>
        <v>816777.56</v>
      </c>
      <c r="E130" s="24">
        <f>E131+E132</f>
        <v>100.42999999999999</v>
      </c>
      <c r="F130" s="24"/>
      <c r="G130" s="95">
        <f>G131+G132</f>
        <v>765446.56</v>
      </c>
      <c r="H130" s="59">
        <f t="shared" si="6"/>
        <v>93.715424796930023</v>
      </c>
      <c r="I130" s="90">
        <f>I131+I132</f>
        <v>843789.53</v>
      </c>
      <c r="J130" s="90">
        <f>J131+J132</f>
        <v>46069.31</v>
      </c>
      <c r="K130" s="90">
        <f>K131+K132</f>
        <v>889858.84000000008</v>
      </c>
      <c r="L130" s="87">
        <f t="shared" si="4"/>
        <v>16.253555310249222</v>
      </c>
      <c r="M130" s="87">
        <f t="shared" si="3"/>
        <v>8.947513200534063</v>
      </c>
      <c r="N130" s="38"/>
    </row>
    <row r="131" spans="1:20" ht="15.75" customHeight="1" x14ac:dyDescent="0.25">
      <c r="A131" s="25">
        <v>50</v>
      </c>
      <c r="B131" s="26" t="s">
        <v>40</v>
      </c>
      <c r="C131" s="28">
        <v>602687.38</v>
      </c>
      <c r="D131" s="27">
        <v>644407.56000000006</v>
      </c>
      <c r="E131" s="29">
        <v>108.27</v>
      </c>
      <c r="F131" s="29"/>
      <c r="G131" s="45">
        <v>607473.63</v>
      </c>
      <c r="H131" s="59">
        <f t="shared" si="6"/>
        <v>94.268544894166041</v>
      </c>
      <c r="I131" s="167">
        <v>667814.53</v>
      </c>
      <c r="J131" s="167">
        <v>46069.31</v>
      </c>
      <c r="K131" s="167">
        <f>667814.53+46069.31</f>
        <v>713883.84000000008</v>
      </c>
      <c r="L131" s="87">
        <f t="shared" si="4"/>
        <v>17.516844311414815</v>
      </c>
      <c r="M131" s="87">
        <f t="shared" si="3"/>
        <v>10.781419137913282</v>
      </c>
    </row>
    <row r="132" spans="1:20" ht="15.75" customHeight="1" x14ac:dyDescent="0.25">
      <c r="A132" s="25">
        <v>55</v>
      </c>
      <c r="B132" s="26" t="s">
        <v>38</v>
      </c>
      <c r="C132" s="28">
        <v>165671.26</v>
      </c>
      <c r="D132" s="27">
        <v>172370</v>
      </c>
      <c r="E132" s="29">
        <v>-7.84</v>
      </c>
      <c r="F132" s="29"/>
      <c r="G132" s="27">
        <v>157972.93</v>
      </c>
      <c r="H132" s="59">
        <f t="shared" si="6"/>
        <v>91.64757788478272</v>
      </c>
      <c r="I132" s="101">
        <f>133975+42000</f>
        <v>175975</v>
      </c>
      <c r="J132" s="101"/>
      <c r="K132" s="101">
        <f>133975+42000</f>
        <v>175975</v>
      </c>
      <c r="L132" s="87">
        <f t="shared" ref="L132:L195" si="9">(K132-G132)/G132*100</f>
        <v>11.395667599505819</v>
      </c>
      <c r="M132" s="87">
        <f t="shared" ref="M132:M195" si="10">(K132-D132)/D132*100</f>
        <v>2.0914312235307766</v>
      </c>
    </row>
    <row r="133" spans="1:20" ht="15.75" customHeight="1" x14ac:dyDescent="0.25">
      <c r="A133" s="25">
        <v>60</v>
      </c>
      <c r="B133" s="26" t="s">
        <v>81</v>
      </c>
      <c r="C133" s="28">
        <v>1789.46</v>
      </c>
      <c r="D133" s="28">
        <v>0</v>
      </c>
      <c r="E133" s="29"/>
      <c r="F133" s="30"/>
      <c r="G133" s="28">
        <v>0</v>
      </c>
      <c r="H133" s="59"/>
      <c r="I133" s="101">
        <v>0</v>
      </c>
      <c r="J133" s="101"/>
      <c r="K133" s="101">
        <v>0</v>
      </c>
      <c r="L133" s="87"/>
      <c r="M133" s="87"/>
    </row>
    <row r="134" spans="1:20" ht="15.75" customHeight="1" x14ac:dyDescent="0.25">
      <c r="A134" s="33">
        <v>91105</v>
      </c>
      <c r="B134" s="21" t="s">
        <v>49</v>
      </c>
      <c r="C134" s="95">
        <f>C135+C136</f>
        <v>266258.51</v>
      </c>
      <c r="D134" s="95">
        <f>D135+D136</f>
        <v>251841.78</v>
      </c>
      <c r="E134" s="34">
        <v>47.35</v>
      </c>
      <c r="F134" s="60"/>
      <c r="G134" s="95">
        <f>G135+G136</f>
        <v>251036.26</v>
      </c>
      <c r="H134" s="59">
        <f t="shared" si="6"/>
        <v>99.680148385228222</v>
      </c>
      <c r="I134" s="90">
        <f>I135+I136</f>
        <v>259756</v>
      </c>
      <c r="J134" s="90">
        <f>J135+J136</f>
        <v>34183.22</v>
      </c>
      <c r="K134" s="90">
        <f>K135+K136</f>
        <v>293939.21999999997</v>
      </c>
      <c r="L134" s="87">
        <f t="shared" si="9"/>
        <v>17.090343841164604</v>
      </c>
      <c r="M134" s="87">
        <f t="shared" si="10"/>
        <v>16.71582848564681</v>
      </c>
      <c r="N134" s="38"/>
    </row>
    <row r="135" spans="1:20" ht="15.75" customHeight="1" x14ac:dyDescent="0.25">
      <c r="A135" s="25">
        <v>50</v>
      </c>
      <c r="B135" s="26" t="s">
        <v>40</v>
      </c>
      <c r="C135" s="28">
        <v>220851.6</v>
      </c>
      <c r="D135" s="27">
        <v>201894.18</v>
      </c>
      <c r="E135" s="29">
        <v>73.23</v>
      </c>
      <c r="F135" s="29"/>
      <c r="G135" s="44">
        <v>214877.5</v>
      </c>
      <c r="H135" s="59">
        <f t="shared" si="6"/>
        <v>106.43075496282262</v>
      </c>
      <c r="I135" s="167">
        <f>208960</f>
        <v>208960</v>
      </c>
      <c r="J135" s="167">
        <v>34183.22</v>
      </c>
      <c r="K135" s="167">
        <f>208960+34183.22</f>
        <v>243143.22</v>
      </c>
      <c r="L135" s="87">
        <f t="shared" si="9"/>
        <v>13.154341427092181</v>
      </c>
      <c r="M135" s="87">
        <f t="shared" si="10"/>
        <v>20.431019854064147</v>
      </c>
      <c r="N135" s="99"/>
    </row>
    <row r="136" spans="1:20" ht="15.75" customHeight="1" x14ac:dyDescent="0.25">
      <c r="A136" s="25">
        <v>55</v>
      </c>
      <c r="B136" s="26" t="s">
        <v>38</v>
      </c>
      <c r="C136" s="28">
        <v>45406.91</v>
      </c>
      <c r="D136" s="27">
        <v>49947.6</v>
      </c>
      <c r="E136" s="29">
        <v>-30.35</v>
      </c>
      <c r="F136" s="29"/>
      <c r="G136" s="27">
        <v>36158.76</v>
      </c>
      <c r="H136" s="59">
        <f t="shared" si="6"/>
        <v>72.39338827090792</v>
      </c>
      <c r="I136" s="82">
        <v>50796</v>
      </c>
      <c r="J136" s="82"/>
      <c r="K136" s="82">
        <v>50796</v>
      </c>
      <c r="L136" s="87">
        <f t="shared" si="9"/>
        <v>40.480481078444051</v>
      </c>
      <c r="M136" s="87">
        <f t="shared" si="10"/>
        <v>1.6985801119573343</v>
      </c>
      <c r="N136" s="99"/>
    </row>
    <row r="137" spans="1:20" ht="15.75" customHeight="1" x14ac:dyDescent="0.25">
      <c r="A137" s="33">
        <v>91103</v>
      </c>
      <c r="B137" s="21" t="s">
        <v>50</v>
      </c>
      <c r="C137" s="95">
        <f>C138</f>
        <v>272184.40999999997</v>
      </c>
      <c r="D137" s="95">
        <f>D138</f>
        <v>257000</v>
      </c>
      <c r="E137" s="34">
        <v>-22.41</v>
      </c>
      <c r="F137" s="60"/>
      <c r="G137" s="95">
        <v>260666</v>
      </c>
      <c r="H137" s="59">
        <f t="shared" si="6"/>
        <v>101.42645914396886</v>
      </c>
      <c r="I137" s="89">
        <f>I138</f>
        <v>200000</v>
      </c>
      <c r="J137" s="89">
        <f>J138</f>
        <v>0</v>
      </c>
      <c r="K137" s="89">
        <f>K138</f>
        <v>200000</v>
      </c>
      <c r="L137" s="87">
        <f t="shared" si="9"/>
        <v>-23.273461057445161</v>
      </c>
      <c r="M137" s="87">
        <f t="shared" si="10"/>
        <v>-22.178988326848248</v>
      </c>
    </row>
    <row r="138" spans="1:20" ht="15.75" customHeight="1" x14ac:dyDescent="0.25">
      <c r="A138" s="25">
        <v>55</v>
      </c>
      <c r="B138" s="26" t="s">
        <v>38</v>
      </c>
      <c r="C138" s="28">
        <v>272184.40999999997</v>
      </c>
      <c r="D138" s="27">
        <v>257000</v>
      </c>
      <c r="E138" s="29">
        <v>-22.41</v>
      </c>
      <c r="F138" s="29"/>
      <c r="G138" s="27">
        <v>247257.71</v>
      </c>
      <c r="H138" s="59">
        <f t="shared" si="6"/>
        <v>96.209225680933855</v>
      </c>
      <c r="I138" s="79">
        <v>200000</v>
      </c>
      <c r="J138" s="79"/>
      <c r="K138" s="79">
        <v>200000</v>
      </c>
      <c r="L138" s="87">
        <f t="shared" si="9"/>
        <v>-19.112734644351431</v>
      </c>
      <c r="M138" s="87">
        <f t="shared" si="10"/>
        <v>-22.178988326848248</v>
      </c>
      <c r="N138" s="49"/>
    </row>
    <row r="139" spans="1:20" ht="15.75" customHeight="1" x14ac:dyDescent="0.25">
      <c r="A139" s="10">
        <v>9212</v>
      </c>
      <c r="B139" s="11" t="s">
        <v>51</v>
      </c>
      <c r="C139" s="92">
        <f>C140+C141+C142</f>
        <v>4047931.4499999997</v>
      </c>
      <c r="D139" s="92">
        <f>D140+D141+D142</f>
        <v>4265034.8</v>
      </c>
      <c r="E139" s="13">
        <v>-10.86</v>
      </c>
      <c r="F139" s="58"/>
      <c r="G139" s="92">
        <f>G140+G141+G142</f>
        <v>4191030.06</v>
      </c>
      <c r="H139" s="59">
        <f t="shared" si="6"/>
        <v>98.264850265700062</v>
      </c>
      <c r="I139" s="88">
        <f>I140+I141+I142</f>
        <v>4271745.22</v>
      </c>
      <c r="J139" s="88">
        <f>J140+J141+J142</f>
        <v>214000.11</v>
      </c>
      <c r="K139" s="88">
        <f>K140+K141+K142</f>
        <v>4447219.43</v>
      </c>
      <c r="L139" s="87">
        <f t="shared" si="9"/>
        <v>6.1128020160275263</v>
      </c>
      <c r="M139" s="87">
        <f t="shared" si="10"/>
        <v>4.2715860137882089</v>
      </c>
    </row>
    <row r="140" spans="1:20" ht="15.75" customHeight="1" x14ac:dyDescent="0.25">
      <c r="A140" s="14">
        <v>45</v>
      </c>
      <c r="B140" s="15" t="s">
        <v>52</v>
      </c>
      <c r="C140" s="22">
        <v>258</v>
      </c>
      <c r="D140" s="18">
        <f>D150</f>
        <v>258</v>
      </c>
      <c r="E140" s="18">
        <v>0</v>
      </c>
      <c r="F140" s="18"/>
      <c r="G140" s="29">
        <v>258</v>
      </c>
      <c r="H140" s="59">
        <f t="shared" si="6"/>
        <v>100</v>
      </c>
      <c r="I140" s="80">
        <v>258</v>
      </c>
      <c r="J140" s="80">
        <v>0</v>
      </c>
      <c r="K140" s="80">
        <v>258</v>
      </c>
      <c r="L140" s="87">
        <f t="shared" si="9"/>
        <v>0</v>
      </c>
      <c r="M140" s="87">
        <f t="shared" si="10"/>
        <v>0</v>
      </c>
    </row>
    <row r="141" spans="1:20" ht="15.75" customHeight="1" x14ac:dyDescent="0.25">
      <c r="A141" s="14">
        <v>50</v>
      </c>
      <c r="B141" s="15" t="s">
        <v>5</v>
      </c>
      <c r="C141" s="17">
        <f>C144+C147+C151</f>
        <v>3340959.07</v>
      </c>
      <c r="D141" s="16">
        <f>D144+D147+D151</f>
        <v>3380210</v>
      </c>
      <c r="E141" s="18">
        <v>-15.77</v>
      </c>
      <c r="F141" s="18"/>
      <c r="G141" s="16">
        <f>G144+G147+G151</f>
        <v>3387916.79</v>
      </c>
      <c r="H141" s="59">
        <f t="shared" si="6"/>
        <v>100.22799737294427</v>
      </c>
      <c r="I141" s="74">
        <f>I144+I147+I151</f>
        <v>3417665.51</v>
      </c>
      <c r="J141" s="74">
        <f>J151+J144+J147</f>
        <v>177184.11</v>
      </c>
      <c r="K141" s="74">
        <f>K144+K147+K151</f>
        <v>3556323.7199999997</v>
      </c>
      <c r="L141" s="87">
        <f t="shared" si="9"/>
        <v>4.9708106910146306</v>
      </c>
      <c r="M141" s="87">
        <f t="shared" si="10"/>
        <v>5.2101413817484632</v>
      </c>
    </row>
    <row r="142" spans="1:20" ht="15.75" customHeight="1" x14ac:dyDescent="0.25">
      <c r="A142" s="14">
        <v>55</v>
      </c>
      <c r="B142" s="15" t="s">
        <v>6</v>
      </c>
      <c r="C142" s="17">
        <f>C145+C148+C152+C154</f>
        <v>706714.38</v>
      </c>
      <c r="D142" s="16">
        <f>D145+D148+D152+D154</f>
        <v>884566.8</v>
      </c>
      <c r="E142" s="18">
        <v>9.51</v>
      </c>
      <c r="F142" s="18"/>
      <c r="G142" s="16">
        <f>G145+G148+G152+G154</f>
        <v>802855.27000000014</v>
      </c>
      <c r="H142" s="59">
        <f t="shared" si="6"/>
        <v>90.76253709725485</v>
      </c>
      <c r="I142" s="74">
        <f>I145+I148+I152+I154</f>
        <v>853821.71</v>
      </c>
      <c r="J142" s="74">
        <f>J145+J148+J152+J154</f>
        <v>36816</v>
      </c>
      <c r="K142" s="74">
        <f>K145+K148+K152+K154</f>
        <v>890637.71</v>
      </c>
      <c r="L142" s="87">
        <f t="shared" si="9"/>
        <v>10.933781377557603</v>
      </c>
      <c r="M142" s="87">
        <f t="shared" si="10"/>
        <v>0.6863144761933091</v>
      </c>
    </row>
    <row r="143" spans="1:20" ht="15.75" customHeight="1" x14ac:dyDescent="0.25">
      <c r="A143" s="33">
        <v>92121</v>
      </c>
      <c r="B143" s="23" t="s">
        <v>53</v>
      </c>
      <c r="C143" s="95">
        <f>C144+C145</f>
        <v>2251459</v>
      </c>
      <c r="D143" s="95">
        <f>D144+D145</f>
        <v>2266583.2999999998</v>
      </c>
      <c r="E143" s="34">
        <v>2.4700000000000002</v>
      </c>
      <c r="F143" s="60"/>
      <c r="G143" s="145">
        <f>G144+G145</f>
        <v>2238888.54</v>
      </c>
      <c r="H143" s="146">
        <f t="shared" si="6"/>
        <v>98.778127413186184</v>
      </c>
      <c r="I143" s="90">
        <f>I144+I145</f>
        <v>2199841.88</v>
      </c>
      <c r="J143" s="90">
        <f>J144+J145</f>
        <v>152223.69</v>
      </c>
      <c r="K143" s="90">
        <f>K144+K145</f>
        <v>2352065.5699999998</v>
      </c>
      <c r="L143" s="87">
        <f t="shared" si="9"/>
        <v>5.0550542368670035</v>
      </c>
      <c r="M143" s="87">
        <f t="shared" si="10"/>
        <v>3.7714153280843474</v>
      </c>
      <c r="N143" s="150"/>
    </row>
    <row r="144" spans="1:20" s="67" customFormat="1" ht="15.75" customHeight="1" x14ac:dyDescent="0.25">
      <c r="A144" s="68">
        <v>50</v>
      </c>
      <c r="B144" s="69" t="s">
        <v>40</v>
      </c>
      <c r="C144" s="70">
        <v>1955718.7</v>
      </c>
      <c r="D144" s="44">
        <v>1894800.74</v>
      </c>
      <c r="E144" s="71">
        <v>-1.64</v>
      </c>
      <c r="F144" s="71"/>
      <c r="G144" s="147">
        <v>1928235.65</v>
      </c>
      <c r="H144" s="148">
        <f t="shared" ref="H144:H232" si="11">G144/D144*100</f>
        <v>101.76456074214958</v>
      </c>
      <c r="I144" s="82">
        <v>1900121.96</v>
      </c>
      <c r="J144" s="82">
        <f>68349.58+44154</f>
        <v>112503.58</v>
      </c>
      <c r="K144" s="82">
        <f>1900121.96+J144</f>
        <v>2012625.54</v>
      </c>
      <c r="L144" s="87">
        <f t="shared" si="9"/>
        <v>4.3765340610728849</v>
      </c>
      <c r="M144" s="87">
        <f t="shared" si="10"/>
        <v>6.218321405130971</v>
      </c>
      <c r="N144" s="151"/>
      <c r="O144"/>
      <c r="P144"/>
      <c r="Q144"/>
      <c r="R144"/>
      <c r="S144"/>
      <c r="T144"/>
    </row>
    <row r="145" spans="1:19" ht="30.6" customHeight="1" x14ac:dyDescent="0.25">
      <c r="A145" s="25">
        <v>55</v>
      </c>
      <c r="B145" s="26" t="s">
        <v>38</v>
      </c>
      <c r="C145" s="28">
        <v>295740.3</v>
      </c>
      <c r="D145" s="27">
        <v>371782.56</v>
      </c>
      <c r="E145" s="29">
        <v>29.17</v>
      </c>
      <c r="F145" s="29"/>
      <c r="G145" s="44">
        <v>310652.89</v>
      </c>
      <c r="H145" s="59">
        <f t="shared" si="11"/>
        <v>83.557682210806234</v>
      </c>
      <c r="I145" s="82">
        <v>299719.92</v>
      </c>
      <c r="J145" s="82">
        <v>39720.11</v>
      </c>
      <c r="K145" s="82">
        <f>283600+16119.92+39720.11</f>
        <v>339440.02999999997</v>
      </c>
      <c r="L145" s="87">
        <f t="shared" si="9"/>
        <v>9.2666577156259358</v>
      </c>
      <c r="M145" s="87">
        <f t="shared" si="10"/>
        <v>-8.6993133836078886</v>
      </c>
      <c r="N145" s="152"/>
      <c r="O145" s="153"/>
    </row>
    <row r="146" spans="1:19" ht="15.75" customHeight="1" x14ac:dyDescent="0.25">
      <c r="A146" s="33">
        <v>92122</v>
      </c>
      <c r="B146" s="23" t="s">
        <v>54</v>
      </c>
      <c r="C146" s="95">
        <f>C147+C148</f>
        <v>1449947.8399999999</v>
      </c>
      <c r="D146" s="95">
        <f>D147+D148</f>
        <v>1583484.54</v>
      </c>
      <c r="E146" s="34">
        <v>-22.75</v>
      </c>
      <c r="F146" s="60"/>
      <c r="G146" s="95">
        <f>G147+G148</f>
        <v>1558546.8</v>
      </c>
      <c r="H146" s="59">
        <f t="shared" si="11"/>
        <v>98.425135240032091</v>
      </c>
      <c r="I146" s="91">
        <f>I147+I148</f>
        <v>1636861.97</v>
      </c>
      <c r="J146" s="91">
        <f>J147+J148</f>
        <v>63158.53</v>
      </c>
      <c r="K146" s="91">
        <f>K147+K148</f>
        <v>1661494.5999999999</v>
      </c>
      <c r="L146" s="87">
        <f t="shared" si="9"/>
        <v>6.6053711059558688</v>
      </c>
      <c r="M146" s="87">
        <f t="shared" si="10"/>
        <v>4.9264806841751563</v>
      </c>
      <c r="N146" s="150"/>
      <c r="P146" s="38"/>
    </row>
    <row r="147" spans="1:19" ht="15.75" customHeight="1" x14ac:dyDescent="0.25">
      <c r="A147" s="25">
        <v>50</v>
      </c>
      <c r="B147" s="26" t="s">
        <v>40</v>
      </c>
      <c r="C147" s="28">
        <v>1164026.6499999999</v>
      </c>
      <c r="D147" s="27">
        <v>1251714.05</v>
      </c>
      <c r="E147" s="29">
        <v>-31.14</v>
      </c>
      <c r="F147" s="29"/>
      <c r="G147" s="44">
        <v>1235310.1000000001</v>
      </c>
      <c r="H147" s="59">
        <f t="shared" si="11"/>
        <v>98.689481036024162</v>
      </c>
      <c r="I147" s="82">
        <v>1294757.18</v>
      </c>
      <c r="J147" s="82">
        <f>38525.9</f>
        <v>38525.9</v>
      </c>
      <c r="K147" s="82">
        <v>1294757.18</v>
      </c>
      <c r="L147" s="87">
        <f t="shared" si="9"/>
        <v>4.812320404406945</v>
      </c>
      <c r="M147" s="87">
        <f t="shared" si="10"/>
        <v>3.4387350689240792</v>
      </c>
    </row>
    <row r="148" spans="1:19" ht="15.75" customHeight="1" x14ac:dyDescent="0.25">
      <c r="A148" s="25">
        <v>55</v>
      </c>
      <c r="B148" s="26" t="s">
        <v>38</v>
      </c>
      <c r="C148" s="28">
        <v>285921.19</v>
      </c>
      <c r="D148" s="27">
        <v>331770.49</v>
      </c>
      <c r="E148" s="29">
        <v>6.72</v>
      </c>
      <c r="F148" s="29"/>
      <c r="G148" s="44">
        <v>323236.7</v>
      </c>
      <c r="H148" s="59">
        <f t="shared" si="11"/>
        <v>97.42780317803431</v>
      </c>
      <c r="I148" s="82">
        <v>342104.79</v>
      </c>
      <c r="J148" s="82">
        <v>24632.63</v>
      </c>
      <c r="K148" s="82">
        <f>282891+37241+21972.79+24632.63</f>
        <v>366737.42</v>
      </c>
      <c r="L148" s="87">
        <f t="shared" si="9"/>
        <v>13.457853022258911</v>
      </c>
      <c r="M148" s="87">
        <f t="shared" si="10"/>
        <v>10.53949373254987</v>
      </c>
      <c r="S148" s="123"/>
    </row>
    <row r="149" spans="1:19" ht="15.75" customHeight="1" x14ac:dyDescent="0.25">
      <c r="A149" s="33">
        <v>92125</v>
      </c>
      <c r="B149" s="21" t="s">
        <v>55</v>
      </c>
      <c r="C149" s="95">
        <f>C150+C151+C152</f>
        <v>269524.61</v>
      </c>
      <c r="D149" s="95">
        <f>D150+D151+D152</f>
        <v>299466.95999999996</v>
      </c>
      <c r="E149" s="34">
        <v>-51.09</v>
      </c>
      <c r="F149" s="60"/>
      <c r="G149" s="95">
        <f>G150+G151+G152</f>
        <v>282254.92</v>
      </c>
      <c r="H149" s="59">
        <f t="shared" si="11"/>
        <v>94.25244107062764</v>
      </c>
      <c r="I149" s="89">
        <f>I150+I151+I152</f>
        <v>275041.37</v>
      </c>
      <c r="J149" s="89">
        <f>J150+J151+J152</f>
        <v>28617.89</v>
      </c>
      <c r="K149" s="89">
        <f>K150+K151+K152</f>
        <v>303659.26</v>
      </c>
      <c r="L149" s="87">
        <f t="shared" si="9"/>
        <v>7.5833363684147743</v>
      </c>
      <c r="M149" s="87">
        <f t="shared" si="10"/>
        <v>1.3999207124552395</v>
      </c>
      <c r="N149" s="62"/>
    </row>
    <row r="150" spans="1:19" ht="15.75" customHeight="1" x14ac:dyDescent="0.25">
      <c r="A150" s="25">
        <v>45</v>
      </c>
      <c r="B150" s="26" t="s">
        <v>56</v>
      </c>
      <c r="C150" s="30">
        <v>258</v>
      </c>
      <c r="D150" s="29">
        <v>258</v>
      </c>
      <c r="E150" s="29">
        <v>0</v>
      </c>
      <c r="F150" s="29"/>
      <c r="G150" s="29">
        <v>258</v>
      </c>
      <c r="H150" s="59">
        <f t="shared" si="11"/>
        <v>100</v>
      </c>
      <c r="I150" s="80">
        <v>258</v>
      </c>
      <c r="J150" s="80"/>
      <c r="K150" s="80">
        <v>258</v>
      </c>
      <c r="L150" s="87">
        <f t="shared" si="9"/>
        <v>0</v>
      </c>
      <c r="M150" s="87">
        <f t="shared" si="10"/>
        <v>0</v>
      </c>
    </row>
    <row r="151" spans="1:19" ht="15.75" customHeight="1" x14ac:dyDescent="0.25">
      <c r="A151" s="25">
        <v>50</v>
      </c>
      <c r="B151" s="26" t="s">
        <v>40</v>
      </c>
      <c r="C151" s="28">
        <v>221213.72</v>
      </c>
      <c r="D151" s="27">
        <v>233695.21</v>
      </c>
      <c r="E151" s="29">
        <v>-57.22</v>
      </c>
      <c r="F151" s="29"/>
      <c r="G151" s="44">
        <v>224371.04</v>
      </c>
      <c r="H151" s="59">
        <f t="shared" si="11"/>
        <v>96.0101150554177</v>
      </c>
      <c r="I151" s="79">
        <f>222786.37</f>
        <v>222786.37</v>
      </c>
      <c r="J151" s="79">
        <f>13123.06+13031.57</f>
        <v>26154.629999999997</v>
      </c>
      <c r="K151" s="79">
        <f>222786.37+J151</f>
        <v>248941</v>
      </c>
      <c r="L151" s="87">
        <f t="shared" si="9"/>
        <v>10.950593267295098</v>
      </c>
      <c r="M151" s="87">
        <f t="shared" si="10"/>
        <v>6.5237922505985511</v>
      </c>
      <c r="N151" s="49"/>
    </row>
    <row r="152" spans="1:19" ht="15.75" customHeight="1" x14ac:dyDescent="0.25">
      <c r="A152" s="25">
        <v>55</v>
      </c>
      <c r="B152" s="26" t="s">
        <v>38</v>
      </c>
      <c r="C152" s="28">
        <v>48052.89</v>
      </c>
      <c r="D152" s="27">
        <v>65513.75</v>
      </c>
      <c r="E152" s="29">
        <v>-31.94</v>
      </c>
      <c r="F152" s="29"/>
      <c r="G152" s="27">
        <v>57625.88</v>
      </c>
      <c r="H152" s="59">
        <f t="shared" si="11"/>
        <v>87.959977867241605</v>
      </c>
      <c r="I152" s="79">
        <f>51997</f>
        <v>51997</v>
      </c>
      <c r="J152" s="79">
        <v>2463.2600000000002</v>
      </c>
      <c r="K152" s="79">
        <f>51997+2463.26</f>
        <v>54460.26</v>
      </c>
      <c r="L152" s="87">
        <f t="shared" si="9"/>
        <v>-5.4933998404883289</v>
      </c>
      <c r="M152" s="87">
        <f t="shared" si="10"/>
        <v>-16.872015416611013</v>
      </c>
      <c r="N152" s="123"/>
    </row>
    <row r="153" spans="1:19" ht="15.75" customHeight="1" x14ac:dyDescent="0.25">
      <c r="A153" s="33">
        <v>92123</v>
      </c>
      <c r="B153" s="21" t="s">
        <v>57</v>
      </c>
      <c r="C153" s="95">
        <f>C154</f>
        <v>77000</v>
      </c>
      <c r="D153" s="95">
        <f>D154</f>
        <v>115500</v>
      </c>
      <c r="E153" s="34">
        <v>-8.6</v>
      </c>
      <c r="F153" s="60"/>
      <c r="G153" s="95">
        <f>G154</f>
        <v>111339.8</v>
      </c>
      <c r="H153" s="59">
        <f t="shared" si="11"/>
        <v>96.398095238095237</v>
      </c>
      <c r="I153" s="89">
        <f>I154</f>
        <v>160000</v>
      </c>
      <c r="J153" s="89">
        <f>J154</f>
        <v>-30000</v>
      </c>
      <c r="K153" s="89">
        <f>K154</f>
        <v>130000</v>
      </c>
      <c r="L153" s="87">
        <f t="shared" si="9"/>
        <v>16.759685215888656</v>
      </c>
      <c r="M153" s="87">
        <f t="shared" si="10"/>
        <v>12.554112554112553</v>
      </c>
      <c r="N153" s="62"/>
    </row>
    <row r="154" spans="1:19" ht="15.75" customHeight="1" x14ac:dyDescent="0.25">
      <c r="A154" s="25">
        <v>55</v>
      </c>
      <c r="B154" s="26" t="s">
        <v>38</v>
      </c>
      <c r="C154" s="28">
        <v>77000</v>
      </c>
      <c r="D154" s="27">
        <v>115500</v>
      </c>
      <c r="E154" s="29">
        <v>-8.6</v>
      </c>
      <c r="F154" s="29"/>
      <c r="G154" s="27">
        <v>111339.8</v>
      </c>
      <c r="H154" s="59">
        <f t="shared" si="11"/>
        <v>96.398095238095237</v>
      </c>
      <c r="I154" s="79">
        <f>160000</f>
        <v>160000</v>
      </c>
      <c r="J154" s="79">
        <v>-30000</v>
      </c>
      <c r="K154" s="79">
        <f>160000-30000</f>
        <v>130000</v>
      </c>
      <c r="L154" s="87">
        <f t="shared" si="9"/>
        <v>16.759685215888656</v>
      </c>
      <c r="M154" s="87">
        <f t="shared" si="10"/>
        <v>12.554112554112553</v>
      </c>
      <c r="N154" s="49"/>
    </row>
    <row r="155" spans="1:19" ht="15.75" customHeight="1" x14ac:dyDescent="0.25">
      <c r="A155" s="10">
        <v>9213</v>
      </c>
      <c r="B155" s="11" t="s">
        <v>58</v>
      </c>
      <c r="C155" s="92">
        <f>C156</f>
        <v>128500</v>
      </c>
      <c r="D155" s="92">
        <f>D156</f>
        <v>125000</v>
      </c>
      <c r="E155" s="13">
        <v>-26.67</v>
      </c>
      <c r="F155" s="58"/>
      <c r="G155" s="92">
        <f>G156</f>
        <v>103557.38</v>
      </c>
      <c r="H155" s="59">
        <f t="shared" si="11"/>
        <v>82.845904000000004</v>
      </c>
      <c r="I155" s="88">
        <f>I156</f>
        <v>90252</v>
      </c>
      <c r="J155" s="88">
        <f>J156</f>
        <v>30000</v>
      </c>
      <c r="K155" s="88">
        <f>K156</f>
        <v>120252</v>
      </c>
      <c r="L155" s="87">
        <f t="shared" si="9"/>
        <v>16.121130140604169</v>
      </c>
      <c r="M155" s="87">
        <f t="shared" si="10"/>
        <v>-3.7983999999999996</v>
      </c>
    </row>
    <row r="156" spans="1:19" ht="15.75" customHeight="1" x14ac:dyDescent="0.25">
      <c r="A156" s="14">
        <v>55</v>
      </c>
      <c r="B156" s="15" t="s">
        <v>6</v>
      </c>
      <c r="C156" s="17">
        <v>128500</v>
      </c>
      <c r="D156" s="16">
        <v>125000</v>
      </c>
      <c r="E156" s="18">
        <v>-26.67</v>
      </c>
      <c r="F156" s="18"/>
      <c r="G156" s="40">
        <v>103557.38</v>
      </c>
      <c r="H156" s="59">
        <f t="shared" si="11"/>
        <v>82.845904000000004</v>
      </c>
      <c r="I156" s="83">
        <f>90252</f>
        <v>90252</v>
      </c>
      <c r="J156" s="83">
        <v>30000</v>
      </c>
      <c r="K156" s="83">
        <f>90252+30000</f>
        <v>120252</v>
      </c>
      <c r="L156" s="87">
        <f t="shared" si="9"/>
        <v>16.121130140604169</v>
      </c>
      <c r="M156" s="87">
        <f t="shared" si="10"/>
        <v>-3.7983999999999996</v>
      </c>
    </row>
    <row r="157" spans="1:19" ht="15.75" customHeight="1" x14ac:dyDescent="0.25">
      <c r="A157" s="31">
        <v>95101</v>
      </c>
      <c r="B157" s="86" t="s">
        <v>80</v>
      </c>
      <c r="C157" s="92">
        <f>C158+C159+C160</f>
        <v>509132.23</v>
      </c>
      <c r="D157" s="92">
        <f>D158+D159+D160</f>
        <v>531534.38</v>
      </c>
      <c r="E157" s="13">
        <v>12.85</v>
      </c>
      <c r="F157" s="58"/>
      <c r="G157" s="92">
        <f>G158+G159+G160</f>
        <v>490401.33999999997</v>
      </c>
      <c r="H157" s="59">
        <f t="shared" si="11"/>
        <v>92.261452589388469</v>
      </c>
      <c r="I157" s="88">
        <f>I158+I159+I160</f>
        <v>520155.47</v>
      </c>
      <c r="J157" s="88">
        <f>J158+J159+J160</f>
        <v>2817.83</v>
      </c>
      <c r="K157" s="88">
        <f>K158+K159+K160</f>
        <v>522973.3</v>
      </c>
      <c r="L157" s="87">
        <f t="shared" si="9"/>
        <v>6.6418986538658364</v>
      </c>
      <c r="M157" s="87">
        <f t="shared" si="10"/>
        <v>-1.6106352330398679</v>
      </c>
    </row>
    <row r="158" spans="1:19" ht="15.75" customHeight="1" x14ac:dyDescent="0.25">
      <c r="A158" s="14">
        <v>45</v>
      </c>
      <c r="B158" s="52" t="s">
        <v>75</v>
      </c>
      <c r="C158" s="22">
        <v>420</v>
      </c>
      <c r="D158" s="18">
        <v>400</v>
      </c>
      <c r="E158" s="18">
        <v>5</v>
      </c>
      <c r="F158" s="18"/>
      <c r="G158" s="41">
        <v>383</v>
      </c>
      <c r="H158" s="59">
        <f t="shared" si="11"/>
        <v>95.75</v>
      </c>
      <c r="I158" s="84">
        <v>400</v>
      </c>
      <c r="J158" s="84"/>
      <c r="K158" s="84">
        <v>400</v>
      </c>
      <c r="L158" s="87">
        <f t="shared" si="9"/>
        <v>4.4386422976501301</v>
      </c>
      <c r="M158" s="87">
        <f t="shared" si="10"/>
        <v>0</v>
      </c>
    </row>
    <row r="159" spans="1:19" ht="15.75" customHeight="1" x14ac:dyDescent="0.25">
      <c r="A159" s="14">
        <v>50</v>
      </c>
      <c r="B159" s="15" t="s">
        <v>5</v>
      </c>
      <c r="C159" s="17">
        <v>451712.23</v>
      </c>
      <c r="D159" s="16">
        <v>471284.38</v>
      </c>
      <c r="E159" s="18">
        <v>11.09</v>
      </c>
      <c r="F159" s="18"/>
      <c r="G159" s="40">
        <v>446140.87</v>
      </c>
      <c r="H159" s="59">
        <f t="shared" si="11"/>
        <v>94.664896383792723</v>
      </c>
      <c r="I159" s="83">
        <f>459355.47</f>
        <v>459355.47</v>
      </c>
      <c r="J159" s="83">
        <v>2817.83</v>
      </c>
      <c r="K159" s="83">
        <f>459355.47+2817.83</f>
        <v>462173.3</v>
      </c>
      <c r="L159" s="87">
        <f t="shared" si="9"/>
        <v>3.5935802070767449</v>
      </c>
      <c r="M159" s="87">
        <f t="shared" si="10"/>
        <v>-1.9332446367095844</v>
      </c>
    </row>
    <row r="160" spans="1:19" ht="15.75" customHeight="1" x14ac:dyDescent="0.25">
      <c r="A160" s="14">
        <v>55</v>
      </c>
      <c r="B160" s="15" t="s">
        <v>6</v>
      </c>
      <c r="C160" s="17">
        <v>57000</v>
      </c>
      <c r="D160" s="16">
        <v>59850</v>
      </c>
      <c r="E160" s="18">
        <v>26.35</v>
      </c>
      <c r="F160" s="18"/>
      <c r="G160" s="43">
        <v>43877.47</v>
      </c>
      <c r="H160" s="59">
        <f t="shared" si="11"/>
        <v>73.312397660818718</v>
      </c>
      <c r="I160" s="83">
        <v>60400</v>
      </c>
      <c r="J160" s="83"/>
      <c r="K160" s="83">
        <v>60400</v>
      </c>
      <c r="L160" s="87">
        <f t="shared" si="9"/>
        <v>37.656068137018835</v>
      </c>
      <c r="M160" s="87">
        <f t="shared" si="10"/>
        <v>0.91896407685881365</v>
      </c>
    </row>
    <row r="161" spans="1:14" ht="15.75" customHeight="1" x14ac:dyDescent="0.25">
      <c r="A161" s="31">
        <v>95102</v>
      </c>
      <c r="B161" s="11" t="s">
        <v>59</v>
      </c>
      <c r="C161" s="92">
        <f>C162+C164+C165</f>
        <v>49050</v>
      </c>
      <c r="D161" s="92">
        <f>D162+D164+D165+D163</f>
        <v>55748</v>
      </c>
      <c r="E161" s="13">
        <v>-19.48</v>
      </c>
      <c r="F161" s="58"/>
      <c r="G161" s="92">
        <f>G162+G164+G165+G163</f>
        <v>42096.35</v>
      </c>
      <c r="H161" s="59">
        <f t="shared" si="11"/>
        <v>75.511856927602778</v>
      </c>
      <c r="I161" s="88">
        <f>I162+I164+I165+I163</f>
        <v>58338</v>
      </c>
      <c r="J161" s="88">
        <f>J162+J164+J165+J163</f>
        <v>7423</v>
      </c>
      <c r="K161" s="88">
        <f>K162+K164+K165+K163</f>
        <v>65761</v>
      </c>
      <c r="L161" s="87">
        <f t="shared" si="9"/>
        <v>56.215443856771444</v>
      </c>
      <c r="M161" s="87">
        <f t="shared" si="10"/>
        <v>17.961182463944894</v>
      </c>
    </row>
    <row r="162" spans="1:14" ht="15.75" customHeight="1" x14ac:dyDescent="0.25">
      <c r="A162" s="14">
        <v>41</v>
      </c>
      <c r="B162" s="52" t="s">
        <v>78</v>
      </c>
      <c r="C162" s="17">
        <v>5000</v>
      </c>
      <c r="D162" s="16">
        <v>2500</v>
      </c>
      <c r="E162" s="18">
        <v>0</v>
      </c>
      <c r="F162" s="18"/>
      <c r="G162" s="16">
        <v>462</v>
      </c>
      <c r="H162" s="59">
        <f t="shared" si="11"/>
        <v>18.48</v>
      </c>
      <c r="I162" s="74">
        <v>4500</v>
      </c>
      <c r="J162" s="74"/>
      <c r="K162" s="74">
        <v>4500</v>
      </c>
      <c r="L162" s="87">
        <f t="shared" si="9"/>
        <v>874.02597402597394</v>
      </c>
      <c r="M162" s="87">
        <f t="shared" si="10"/>
        <v>80</v>
      </c>
    </row>
    <row r="163" spans="1:14" ht="15.75" customHeight="1" x14ac:dyDescent="0.25">
      <c r="A163" s="14">
        <v>45</v>
      </c>
      <c r="B163" s="15" t="s">
        <v>75</v>
      </c>
      <c r="C163" s="17">
        <v>0</v>
      </c>
      <c r="D163" s="16">
        <v>8492</v>
      </c>
      <c r="E163" s="18"/>
      <c r="F163" s="18"/>
      <c r="G163" s="16">
        <v>7042</v>
      </c>
      <c r="H163" s="59">
        <f t="shared" si="11"/>
        <v>82.925105982100803</v>
      </c>
      <c r="I163" s="74">
        <v>8000</v>
      </c>
      <c r="J163" s="74"/>
      <c r="K163" s="74">
        <v>8000</v>
      </c>
      <c r="L163" s="87">
        <f t="shared" si="9"/>
        <v>13.604089747230899</v>
      </c>
      <c r="M163" s="87">
        <f t="shared" si="10"/>
        <v>-5.7936881771078665</v>
      </c>
    </row>
    <row r="164" spans="1:14" ht="15.75" customHeight="1" x14ac:dyDescent="0.25">
      <c r="A164" s="14">
        <v>50</v>
      </c>
      <c r="B164" s="15" t="s">
        <v>5</v>
      </c>
      <c r="C164" s="17">
        <v>8720</v>
      </c>
      <c r="D164" s="16">
        <v>6750</v>
      </c>
      <c r="E164" s="18">
        <v>-49.28</v>
      </c>
      <c r="F164" s="18"/>
      <c r="G164" s="16">
        <v>4305.75</v>
      </c>
      <c r="H164" s="59">
        <f t="shared" si="11"/>
        <v>63.788888888888884</v>
      </c>
      <c r="I164" s="74">
        <v>10348</v>
      </c>
      <c r="J164" s="74"/>
      <c r="K164" s="74">
        <v>10348</v>
      </c>
      <c r="L164" s="87">
        <f t="shared" si="9"/>
        <v>140.3297915578006</v>
      </c>
      <c r="M164" s="87">
        <f t="shared" si="10"/>
        <v>53.303703703703711</v>
      </c>
    </row>
    <row r="165" spans="1:14" ht="15.75" customHeight="1" x14ac:dyDescent="0.25">
      <c r="A165" s="14">
        <v>55</v>
      </c>
      <c r="B165" s="15" t="s">
        <v>6</v>
      </c>
      <c r="C165" s="17">
        <v>35330</v>
      </c>
      <c r="D165" s="16">
        <v>38006</v>
      </c>
      <c r="E165" s="18">
        <v>-13</v>
      </c>
      <c r="F165" s="18"/>
      <c r="G165" s="16">
        <v>30286.6</v>
      </c>
      <c r="H165" s="59">
        <f t="shared" si="11"/>
        <v>79.688996474240909</v>
      </c>
      <c r="I165" s="74">
        <f>35490</f>
        <v>35490</v>
      </c>
      <c r="J165" s="74">
        <v>7423</v>
      </c>
      <c r="K165" s="74">
        <f>35490+7423</f>
        <v>42913</v>
      </c>
      <c r="L165" s="87">
        <f t="shared" si="9"/>
        <v>41.689724168444137</v>
      </c>
      <c r="M165" s="87">
        <f t="shared" si="10"/>
        <v>12.911119296953114</v>
      </c>
      <c r="N165" s="49"/>
    </row>
    <row r="166" spans="1:14" ht="15.75" customHeight="1" x14ac:dyDescent="0.25">
      <c r="A166" s="10">
        <v>9600</v>
      </c>
      <c r="B166" s="11" t="s">
        <v>60</v>
      </c>
      <c r="C166" s="92">
        <f>C168</f>
        <v>290000</v>
      </c>
      <c r="D166" s="92">
        <f>D168+D167</f>
        <v>300000</v>
      </c>
      <c r="E166" s="13">
        <v>-12.5</v>
      </c>
      <c r="F166" s="58"/>
      <c r="G166" s="92">
        <f>G168+G167</f>
        <v>302073.38</v>
      </c>
      <c r="H166" s="59">
        <f t="shared" si="11"/>
        <v>100.69112666666666</v>
      </c>
      <c r="I166" s="88">
        <f>I168+I167</f>
        <v>302800</v>
      </c>
      <c r="J166" s="88">
        <f>J168+J167</f>
        <v>0</v>
      </c>
      <c r="K166" s="88">
        <f>K168+K167</f>
        <v>302800</v>
      </c>
      <c r="L166" s="87">
        <f t="shared" si="9"/>
        <v>0.24054420154466949</v>
      </c>
      <c r="M166" s="87">
        <f t="shared" si="10"/>
        <v>0.93333333333333346</v>
      </c>
    </row>
    <row r="167" spans="1:14" ht="15.75" customHeight="1" x14ac:dyDescent="0.25">
      <c r="A167" s="126" t="s">
        <v>97</v>
      </c>
      <c r="B167" s="52" t="s">
        <v>75</v>
      </c>
      <c r="C167" s="127">
        <v>0</v>
      </c>
      <c r="D167" s="127">
        <v>2800</v>
      </c>
      <c r="E167" s="128"/>
      <c r="F167" s="129"/>
      <c r="G167" s="127">
        <v>2822.88</v>
      </c>
      <c r="H167" s="59">
        <f t="shared" si="11"/>
        <v>100.81714285714287</v>
      </c>
      <c r="I167" s="130">
        <v>2800</v>
      </c>
      <c r="J167" s="130"/>
      <c r="K167" s="130">
        <v>2800</v>
      </c>
      <c r="L167" s="87">
        <f t="shared" si="9"/>
        <v>-0.8105197528764988</v>
      </c>
      <c r="M167" s="87">
        <f t="shared" si="10"/>
        <v>0</v>
      </c>
    </row>
    <row r="168" spans="1:14" ht="15.75" customHeight="1" x14ac:dyDescent="0.25">
      <c r="A168" s="14">
        <v>55</v>
      </c>
      <c r="B168" s="52" t="s">
        <v>84</v>
      </c>
      <c r="C168" s="17">
        <v>290000</v>
      </c>
      <c r="D168" s="16">
        <v>297200</v>
      </c>
      <c r="E168" s="18">
        <v>-12.5</v>
      </c>
      <c r="F168" s="18"/>
      <c r="G168" s="42">
        <v>299250.5</v>
      </c>
      <c r="H168" s="59">
        <f t="shared" si="11"/>
        <v>100.68993943472408</v>
      </c>
      <c r="I168" s="85">
        <v>300000</v>
      </c>
      <c r="J168" s="85"/>
      <c r="K168" s="85">
        <v>300000</v>
      </c>
      <c r="L168" s="87">
        <f t="shared" si="9"/>
        <v>0.25045906356046188</v>
      </c>
      <c r="M168" s="87">
        <f t="shared" si="10"/>
        <v>0.94212651413189774</v>
      </c>
    </row>
    <row r="169" spans="1:14" ht="15.75" customHeight="1" x14ac:dyDescent="0.25">
      <c r="A169" s="10">
        <v>9601</v>
      </c>
      <c r="B169" s="11" t="s">
        <v>61</v>
      </c>
      <c r="C169" s="92">
        <f>C170</f>
        <v>113225</v>
      </c>
      <c r="D169" s="92">
        <f>D170</f>
        <v>113225</v>
      </c>
      <c r="E169" s="13">
        <v>-1.52</v>
      </c>
      <c r="F169" s="58"/>
      <c r="G169" s="92">
        <f>G170</f>
        <v>133913.56</v>
      </c>
      <c r="H169" s="59">
        <f t="shared" si="11"/>
        <v>118.27207772135128</v>
      </c>
      <c r="I169" s="88">
        <f>I170</f>
        <v>113400</v>
      </c>
      <c r="J169" s="88">
        <f>J170</f>
        <v>0</v>
      </c>
      <c r="K169" s="88">
        <f>K170</f>
        <v>113400</v>
      </c>
      <c r="L169" s="87">
        <f t="shared" si="9"/>
        <v>-15.318508446792093</v>
      </c>
      <c r="M169" s="87">
        <f t="shared" si="10"/>
        <v>0.15455950540958269</v>
      </c>
    </row>
    <row r="170" spans="1:14" ht="15.75" customHeight="1" x14ac:dyDescent="0.25">
      <c r="A170" s="14">
        <v>55</v>
      </c>
      <c r="B170" s="15" t="s">
        <v>6</v>
      </c>
      <c r="C170" s="17">
        <v>113225</v>
      </c>
      <c r="D170" s="17">
        <f>D171+D172+D173</f>
        <v>113225</v>
      </c>
      <c r="E170" s="18">
        <v>-1.52</v>
      </c>
      <c r="F170" s="22"/>
      <c r="G170" s="17">
        <v>133913.56</v>
      </c>
      <c r="H170" s="59">
        <f t="shared" si="11"/>
        <v>118.27207772135128</v>
      </c>
      <c r="I170" s="74">
        <v>113400</v>
      </c>
      <c r="J170" s="74"/>
      <c r="K170" s="74">
        <v>113400</v>
      </c>
      <c r="L170" s="87">
        <f t="shared" si="9"/>
        <v>-15.318508446792093</v>
      </c>
      <c r="M170" s="87">
        <f t="shared" si="10"/>
        <v>0.15455950540958269</v>
      </c>
    </row>
    <row r="171" spans="1:14" ht="15.6" hidden="1" customHeight="1" x14ac:dyDescent="0.25">
      <c r="A171" s="33">
        <v>96011</v>
      </c>
      <c r="B171" s="26" t="s">
        <v>62</v>
      </c>
      <c r="C171" s="28">
        <v>70418.25</v>
      </c>
      <c r="D171" s="27">
        <v>71925</v>
      </c>
      <c r="E171" s="29">
        <v>2.13</v>
      </c>
      <c r="F171" s="29"/>
      <c r="G171" s="27">
        <v>69953.789999999994</v>
      </c>
      <c r="H171" s="59">
        <f t="shared" si="11"/>
        <v>97.259353493222108</v>
      </c>
      <c r="I171" s="79">
        <v>69475</v>
      </c>
      <c r="J171" s="79"/>
      <c r="K171" s="79">
        <v>69475</v>
      </c>
      <c r="L171" s="87">
        <f t="shared" si="9"/>
        <v>-0.68443754083945085</v>
      </c>
      <c r="M171" s="87">
        <f t="shared" si="10"/>
        <v>-3.4063260340632602</v>
      </c>
    </row>
    <row r="172" spans="1:14" ht="15.75" hidden="1" customHeight="1" x14ac:dyDescent="0.25">
      <c r="A172" s="33">
        <v>96012</v>
      </c>
      <c r="B172" s="26" t="s">
        <v>63</v>
      </c>
      <c r="C172" s="28">
        <v>38965.5</v>
      </c>
      <c r="D172" s="27">
        <v>36925</v>
      </c>
      <c r="E172" s="29">
        <v>-5.2</v>
      </c>
      <c r="F172" s="29"/>
      <c r="G172" s="27">
        <v>32073.360000000001</v>
      </c>
      <c r="H172" s="59">
        <f t="shared" si="11"/>
        <v>86.860825998645907</v>
      </c>
      <c r="I172" s="79">
        <v>39900</v>
      </c>
      <c r="J172" s="79"/>
      <c r="K172" s="79">
        <v>39900</v>
      </c>
      <c r="L172" s="87">
        <f t="shared" si="9"/>
        <v>24.402307709575798</v>
      </c>
      <c r="M172" s="87">
        <f t="shared" si="10"/>
        <v>8.0568720379146921</v>
      </c>
      <c r="N172" s="61"/>
    </row>
    <row r="173" spans="1:14" ht="15.75" hidden="1" customHeight="1" x14ac:dyDescent="0.25">
      <c r="A173" s="33">
        <v>96013</v>
      </c>
      <c r="B173" s="26" t="s">
        <v>64</v>
      </c>
      <c r="C173" s="28">
        <v>5591.25</v>
      </c>
      <c r="D173" s="27">
        <v>4375</v>
      </c>
      <c r="E173" s="29">
        <v>-21.88</v>
      </c>
      <c r="F173" s="29"/>
      <c r="G173" s="27">
        <v>3287.26</v>
      </c>
      <c r="H173" s="59">
        <f t="shared" si="11"/>
        <v>75.137371428571427</v>
      </c>
      <c r="I173" s="79">
        <v>3850</v>
      </c>
      <c r="J173" s="79"/>
      <c r="K173" s="79">
        <v>3850</v>
      </c>
      <c r="L173" s="87">
        <f t="shared" si="9"/>
        <v>17.118816278602843</v>
      </c>
      <c r="M173" s="87">
        <f t="shared" si="10"/>
        <v>-12</v>
      </c>
      <c r="N173" s="61"/>
    </row>
    <row r="174" spans="1:14" ht="15.75" customHeight="1" x14ac:dyDescent="0.25">
      <c r="A174" s="134" t="s">
        <v>98</v>
      </c>
      <c r="B174" s="86" t="s">
        <v>99</v>
      </c>
      <c r="C174" s="136">
        <v>0</v>
      </c>
      <c r="D174" s="136">
        <f>D175</f>
        <v>4200</v>
      </c>
      <c r="E174" s="131"/>
      <c r="F174" s="132"/>
      <c r="G174" s="136">
        <f>G175</f>
        <v>5476</v>
      </c>
      <c r="H174" s="59">
        <f t="shared" si="11"/>
        <v>130.38095238095238</v>
      </c>
      <c r="I174" s="164">
        <f>I175</f>
        <v>4128</v>
      </c>
      <c r="J174" s="164">
        <f>J175</f>
        <v>0</v>
      </c>
      <c r="K174" s="133">
        <f>K175</f>
        <v>4128</v>
      </c>
      <c r="L174" s="87">
        <f t="shared" si="9"/>
        <v>-24.616508400292183</v>
      </c>
      <c r="M174" s="87">
        <f t="shared" si="10"/>
        <v>-1.7142857142857144</v>
      </c>
      <c r="N174" s="61"/>
    </row>
    <row r="175" spans="1:14" ht="15.75" customHeight="1" x14ac:dyDescent="0.25">
      <c r="A175" s="135" t="s">
        <v>100</v>
      </c>
      <c r="B175" s="52" t="s">
        <v>84</v>
      </c>
      <c r="C175" s="127">
        <v>0</v>
      </c>
      <c r="D175" s="127">
        <v>4200</v>
      </c>
      <c r="E175" s="29"/>
      <c r="F175" s="30"/>
      <c r="G175" s="127">
        <v>5476</v>
      </c>
      <c r="H175" s="59">
        <f t="shared" si="11"/>
        <v>130.38095238095238</v>
      </c>
      <c r="I175" s="130">
        <v>4128</v>
      </c>
      <c r="J175" s="79"/>
      <c r="K175" s="79">
        <v>4128</v>
      </c>
      <c r="L175" s="87">
        <f t="shared" si="9"/>
        <v>-24.616508400292183</v>
      </c>
      <c r="M175" s="87">
        <f t="shared" si="10"/>
        <v>-1.7142857142857144</v>
      </c>
      <c r="N175" s="61"/>
    </row>
    <row r="176" spans="1:14" ht="15.75" customHeight="1" x14ac:dyDescent="0.25">
      <c r="A176" s="10">
        <v>9800</v>
      </c>
      <c r="B176" s="11" t="s">
        <v>65</v>
      </c>
      <c r="C176" s="92">
        <f>C177+C178</f>
        <v>51769.74</v>
      </c>
      <c r="D176" s="92">
        <f>D177+D178</f>
        <v>16154</v>
      </c>
      <c r="E176" s="13">
        <v>104.63</v>
      </c>
      <c r="F176" s="58"/>
      <c r="G176" s="92">
        <f>G177+G178</f>
        <v>1017.5</v>
      </c>
      <c r="H176" s="59">
        <f t="shared" si="11"/>
        <v>6.2987495357187075</v>
      </c>
      <c r="I176" s="88">
        <f>I177+I178</f>
        <v>176983.2</v>
      </c>
      <c r="J176" s="88">
        <f>J177+J178</f>
        <v>-66816</v>
      </c>
      <c r="K176" s="88">
        <f>K177+K178</f>
        <v>110167.2</v>
      </c>
      <c r="L176" s="87"/>
      <c r="M176" s="87">
        <f t="shared" si="10"/>
        <v>581.98093351491889</v>
      </c>
      <c r="N176" s="61"/>
    </row>
    <row r="177" spans="1:14" ht="15.75" customHeight="1" x14ac:dyDescent="0.25">
      <c r="A177" s="14">
        <v>50</v>
      </c>
      <c r="B177" s="15" t="s">
        <v>5</v>
      </c>
      <c r="C177" s="17">
        <v>44633.74</v>
      </c>
      <c r="D177" s="16">
        <v>16154</v>
      </c>
      <c r="E177" s="18">
        <v>0</v>
      </c>
      <c r="F177" s="18"/>
      <c r="G177" s="40">
        <v>1011.54</v>
      </c>
      <c r="H177" s="59">
        <f t="shared" si="11"/>
        <v>6.2618546490033431</v>
      </c>
      <c r="I177" s="83">
        <v>43351.199999999997</v>
      </c>
      <c r="J177" s="83"/>
      <c r="K177" s="83">
        <v>43351.199999999997</v>
      </c>
      <c r="L177" s="87">
        <f t="shared" si="9"/>
        <v>4185.6634438578803</v>
      </c>
      <c r="M177" s="87">
        <f t="shared" si="10"/>
        <v>168.36201559985142</v>
      </c>
    </row>
    <row r="178" spans="1:14" s="67" customFormat="1" ht="15.75" customHeight="1" x14ac:dyDescent="0.25">
      <c r="A178" s="64">
        <v>55</v>
      </c>
      <c r="B178" s="65" t="s">
        <v>6</v>
      </c>
      <c r="C178" s="66">
        <v>7136</v>
      </c>
      <c r="D178" s="42">
        <v>0</v>
      </c>
      <c r="E178" s="48">
        <v>766.19</v>
      </c>
      <c r="F178" s="48"/>
      <c r="G178" s="43">
        <v>5.96</v>
      </c>
      <c r="H178" s="59"/>
      <c r="I178" s="83">
        <v>133632</v>
      </c>
      <c r="J178" s="83">
        <v>-66816</v>
      </c>
      <c r="K178" s="83">
        <f>133632-66816</f>
        <v>66816</v>
      </c>
      <c r="L178" s="87"/>
      <c r="M178" s="87"/>
      <c r="N178" s="100"/>
    </row>
    <row r="179" spans="1:14" ht="15.75" customHeight="1" x14ac:dyDescent="0.25">
      <c r="A179" s="35">
        <v>10</v>
      </c>
      <c r="B179" s="3" t="s">
        <v>66</v>
      </c>
      <c r="C179" s="92">
        <f>C180+C181+C182</f>
        <v>886201.11999999988</v>
      </c>
      <c r="D179" s="92">
        <f>D180+D181+D182</f>
        <v>876914.36999999988</v>
      </c>
      <c r="E179" s="5">
        <v>-16.18</v>
      </c>
      <c r="F179" s="59"/>
      <c r="G179" s="92">
        <f>G180+G181+G182</f>
        <v>714390.23</v>
      </c>
      <c r="H179" s="59">
        <f t="shared" si="11"/>
        <v>81.466361419074488</v>
      </c>
      <c r="I179" s="88">
        <f>I180+I181+I182</f>
        <v>902933.59</v>
      </c>
      <c r="J179" s="88">
        <f>J180+J181+J182</f>
        <v>-430.5600000000004</v>
      </c>
      <c r="K179" s="88">
        <f>K180+K181+K182</f>
        <v>902502.79</v>
      </c>
      <c r="L179" s="87">
        <f t="shared" si="9"/>
        <v>26.331905462928862</v>
      </c>
      <c r="M179" s="87">
        <f t="shared" si="10"/>
        <v>2.91800669203313</v>
      </c>
    </row>
    <row r="180" spans="1:14" ht="15.75" customHeight="1" x14ac:dyDescent="0.25">
      <c r="A180" s="6">
        <v>41</v>
      </c>
      <c r="B180" s="1" t="s">
        <v>3</v>
      </c>
      <c r="C180" s="8">
        <f>C186+C201+C208+C211+C222+C199</f>
        <v>481832.82999999996</v>
      </c>
      <c r="D180" s="7">
        <f>D186+D199+D201+D208+D211+D222+D190</f>
        <v>494984</v>
      </c>
      <c r="E180" s="9">
        <v>-4.0599999999999996</v>
      </c>
      <c r="F180" s="9"/>
      <c r="G180" s="7">
        <f>G186+G199+G201+G208+G211+G222+G190+G196</f>
        <v>415810.88999999996</v>
      </c>
      <c r="H180" s="59">
        <f t="shared" si="11"/>
        <v>84.004915310393855</v>
      </c>
      <c r="I180" s="56">
        <f>I186+I199+I201+I208+I211+I222+I190</f>
        <v>407338</v>
      </c>
      <c r="J180" s="56">
        <f>J186+J199+J201+J208+J211+J222+J190</f>
        <v>0</v>
      </c>
      <c r="K180" s="56">
        <f>K186+K199+K201+K208+K211+K222+K190</f>
        <v>407338</v>
      </c>
      <c r="L180" s="87">
        <f t="shared" si="9"/>
        <v>-2.0376787149562046</v>
      </c>
      <c r="M180" s="87">
        <f t="shared" si="10"/>
        <v>-17.706834968403019</v>
      </c>
    </row>
    <row r="181" spans="1:14" ht="15.75" customHeight="1" x14ac:dyDescent="0.25">
      <c r="A181" s="6">
        <v>50</v>
      </c>
      <c r="B181" s="1" t="s">
        <v>5</v>
      </c>
      <c r="C181" s="8">
        <f>C187+C202+C224+C229+C212</f>
        <v>117559.61999999998</v>
      </c>
      <c r="D181" s="7">
        <f>D187+D202+D212+D224+D229+D205+D215+D196</f>
        <v>162561.91999999998</v>
      </c>
      <c r="E181" s="9">
        <v>6.79</v>
      </c>
      <c r="F181" s="9"/>
      <c r="G181" s="7">
        <f>G187+G202+G224+G229+G196+G212+G215+G205</f>
        <v>130814.16</v>
      </c>
      <c r="H181" s="59">
        <f t="shared" si="11"/>
        <v>80.470358617811613</v>
      </c>
      <c r="I181" s="56">
        <f>I187+I202+I224+I229+I212+I205+I215+I196</f>
        <v>244886.59</v>
      </c>
      <c r="J181" s="56">
        <f>J187+J202+J224+J229+J212+J205+J215+J196</f>
        <v>-7630.56</v>
      </c>
      <c r="K181" s="56">
        <f>K187+K202+K224+K229+K212+K205+K215+K196</f>
        <v>237255.79</v>
      </c>
      <c r="L181" s="87">
        <f t="shared" si="9"/>
        <v>81.368584257239434</v>
      </c>
      <c r="M181" s="87">
        <f t="shared" si="10"/>
        <v>45.947950171848383</v>
      </c>
    </row>
    <row r="182" spans="1:14" ht="15.75" customHeight="1" x14ac:dyDescent="0.25">
      <c r="A182" s="6">
        <v>55</v>
      </c>
      <c r="B182" s="1" t="s">
        <v>6</v>
      </c>
      <c r="C182" s="8">
        <f>C188+C203+C209+C213+C225+C230</f>
        <v>286808.67</v>
      </c>
      <c r="D182" s="7">
        <f>D184+D192+D194+D197+D203+D209+D213+D218+D220+D227+D230</f>
        <v>219368.45</v>
      </c>
      <c r="E182" s="9">
        <v>-35.14</v>
      </c>
      <c r="F182" s="9"/>
      <c r="G182" s="7">
        <f>G188+G203+G209+G213+G225+G230+G192+G194+G197+G227</f>
        <v>167765.18</v>
      </c>
      <c r="H182" s="59">
        <f t="shared" si="11"/>
        <v>76.476439524462151</v>
      </c>
      <c r="I182" s="56">
        <f>I188+I203+I209+I213+I225+I230+I192+I194+I197+I218+I220+I227+I184+I206+I216</f>
        <v>250709</v>
      </c>
      <c r="J182" s="56">
        <f>J188+J203+J209+J213+J225+J230+J192+J194+J197+J218+J220+J227+J184+J206+J216</f>
        <v>7200</v>
      </c>
      <c r="K182" s="56">
        <f>K188+K203+K209+K213+K225+K230+K192+K194+K197+K218+K220+K227+K184+K206+K216</f>
        <v>257909</v>
      </c>
      <c r="L182" s="87">
        <f t="shared" si="9"/>
        <v>53.732139172145267</v>
      </c>
      <c r="M182" s="87">
        <f t="shared" si="10"/>
        <v>17.568866443647657</v>
      </c>
    </row>
    <row r="183" spans="1:14" ht="15.75" customHeight="1" x14ac:dyDescent="0.25">
      <c r="A183" s="14">
        <v>10120</v>
      </c>
      <c r="B183" s="86" t="s">
        <v>101</v>
      </c>
      <c r="C183" s="142"/>
      <c r="D183" s="136">
        <v>4160</v>
      </c>
      <c r="E183" s="105"/>
      <c r="F183" s="106"/>
      <c r="G183" s="142"/>
      <c r="H183" s="59">
        <f t="shared" si="11"/>
        <v>0</v>
      </c>
      <c r="I183" s="164">
        <f>I184</f>
        <v>4160</v>
      </c>
      <c r="J183" s="164">
        <f>J184</f>
        <v>0</v>
      </c>
      <c r="K183" s="143">
        <f>K184</f>
        <v>4160</v>
      </c>
      <c r="L183" s="87"/>
      <c r="M183" s="87">
        <f t="shared" si="10"/>
        <v>0</v>
      </c>
    </row>
    <row r="184" spans="1:14" ht="15.75" customHeight="1" x14ac:dyDescent="0.25">
      <c r="A184" s="14">
        <v>55</v>
      </c>
      <c r="B184" s="15" t="s">
        <v>84</v>
      </c>
      <c r="C184" s="17">
        <v>0</v>
      </c>
      <c r="D184" s="17">
        <v>4160</v>
      </c>
      <c r="E184" s="18"/>
      <c r="F184" s="22"/>
      <c r="G184" s="17">
        <v>0</v>
      </c>
      <c r="H184" s="59">
        <f t="shared" si="11"/>
        <v>0</v>
      </c>
      <c r="I184" s="74">
        <v>4160</v>
      </c>
      <c r="J184" s="74"/>
      <c r="K184" s="74">
        <v>4160</v>
      </c>
      <c r="L184" s="87"/>
      <c r="M184" s="87">
        <f t="shared" si="10"/>
        <v>0</v>
      </c>
    </row>
    <row r="185" spans="1:14" ht="15.75" hidden="1" customHeight="1" x14ac:dyDescent="0.25">
      <c r="A185" s="36">
        <v>10121</v>
      </c>
      <c r="B185" s="86" t="s">
        <v>103</v>
      </c>
      <c r="C185" s="92">
        <f>C186+C187+C188</f>
        <v>84956</v>
      </c>
      <c r="D185" s="92">
        <v>0</v>
      </c>
      <c r="E185" s="13">
        <v>0</v>
      </c>
      <c r="F185" s="58"/>
      <c r="G185" s="92">
        <f>G186+G187+G188</f>
        <v>0</v>
      </c>
      <c r="H185" s="59"/>
      <c r="I185" s="88">
        <f>I186+I187+I188</f>
        <v>0</v>
      </c>
      <c r="J185" s="88">
        <f>J186+J187+J188</f>
        <v>0</v>
      </c>
      <c r="K185" s="88">
        <f>K186+K187+K188</f>
        <v>0</v>
      </c>
      <c r="L185" s="87" t="e">
        <f t="shared" si="9"/>
        <v>#DIV/0!</v>
      </c>
      <c r="M185" s="87" t="e">
        <f t="shared" si="10"/>
        <v>#DIV/0!</v>
      </c>
    </row>
    <row r="186" spans="1:14" ht="15.75" hidden="1" customHeight="1" x14ac:dyDescent="0.25">
      <c r="A186" s="14">
        <v>41</v>
      </c>
      <c r="B186" s="52" t="s">
        <v>78</v>
      </c>
      <c r="C186" s="17">
        <v>26436</v>
      </c>
      <c r="D186" s="16">
        <v>0</v>
      </c>
      <c r="E186" s="18">
        <v>0</v>
      </c>
      <c r="F186" s="18"/>
      <c r="G186" s="40">
        <v>0</v>
      </c>
      <c r="H186" s="59"/>
      <c r="I186" s="83">
        <v>0</v>
      </c>
      <c r="J186" s="83"/>
      <c r="K186" s="83">
        <v>0</v>
      </c>
      <c r="L186" s="87" t="e">
        <f t="shared" si="9"/>
        <v>#DIV/0!</v>
      </c>
      <c r="M186" s="87" t="e">
        <f t="shared" si="10"/>
        <v>#DIV/0!</v>
      </c>
      <c r="N186" s="49"/>
    </row>
    <row r="187" spans="1:14" ht="15.75" hidden="1" customHeight="1" x14ac:dyDescent="0.25">
      <c r="A187" s="14">
        <v>50</v>
      </c>
      <c r="B187" s="52" t="s">
        <v>79</v>
      </c>
      <c r="C187" s="17">
        <v>38520</v>
      </c>
      <c r="D187" s="16">
        <v>0</v>
      </c>
      <c r="E187" s="18">
        <v>0</v>
      </c>
      <c r="F187" s="18"/>
      <c r="G187" s="40">
        <v>0</v>
      </c>
      <c r="H187" s="59"/>
      <c r="I187" s="83">
        <v>0</v>
      </c>
      <c r="J187" s="83"/>
      <c r="K187" s="83">
        <v>0</v>
      </c>
      <c r="L187" s="87" t="e">
        <f t="shared" si="9"/>
        <v>#DIV/0!</v>
      </c>
      <c r="M187" s="87" t="e">
        <f t="shared" si="10"/>
        <v>#DIV/0!</v>
      </c>
    </row>
    <row r="188" spans="1:14" ht="15.75" hidden="1" customHeight="1" x14ac:dyDescent="0.25">
      <c r="A188" s="14">
        <v>55</v>
      </c>
      <c r="B188" s="52" t="s">
        <v>84</v>
      </c>
      <c r="C188" s="17">
        <v>20000</v>
      </c>
      <c r="D188" s="16">
        <v>0</v>
      </c>
      <c r="E188" s="18">
        <v>0</v>
      </c>
      <c r="F188" s="18"/>
      <c r="G188" s="40">
        <v>0</v>
      </c>
      <c r="H188" s="59"/>
      <c r="I188" s="83">
        <f>52550-5000-3000-44550</f>
        <v>0</v>
      </c>
      <c r="J188" s="83"/>
      <c r="K188" s="83">
        <f>52550-5000-3000-44550</f>
        <v>0</v>
      </c>
      <c r="L188" s="87" t="e">
        <f t="shared" si="9"/>
        <v>#DIV/0!</v>
      </c>
      <c r="M188" s="87" t="e">
        <f t="shared" si="10"/>
        <v>#DIV/0!</v>
      </c>
    </row>
    <row r="189" spans="1:14" ht="15.75" customHeight="1" x14ac:dyDescent="0.25">
      <c r="A189" s="102">
        <v>10124</v>
      </c>
      <c r="B189" s="103" t="s">
        <v>83</v>
      </c>
      <c r="C189" s="136">
        <v>0</v>
      </c>
      <c r="D189" s="104">
        <f>D190</f>
        <v>15400</v>
      </c>
      <c r="E189" s="105"/>
      <c r="F189" s="106"/>
      <c r="G189" s="104">
        <f>G190</f>
        <v>11910</v>
      </c>
      <c r="H189" s="59">
        <f t="shared" si="11"/>
        <v>77.337662337662337</v>
      </c>
      <c r="I189" s="107">
        <f>I190</f>
        <v>15400</v>
      </c>
      <c r="J189" s="107">
        <f>J190</f>
        <v>0</v>
      </c>
      <c r="K189" s="107">
        <f>K190</f>
        <v>15400</v>
      </c>
      <c r="L189" s="87">
        <f t="shared" si="9"/>
        <v>29.303106633081445</v>
      </c>
      <c r="M189" s="87">
        <f t="shared" si="10"/>
        <v>0</v>
      </c>
      <c r="N189" s="49"/>
    </row>
    <row r="190" spans="1:14" ht="15.75" customHeight="1" x14ac:dyDescent="0.25">
      <c r="A190" s="14">
        <v>41</v>
      </c>
      <c r="B190" s="15" t="s">
        <v>78</v>
      </c>
      <c r="C190" s="17">
        <v>0</v>
      </c>
      <c r="D190" s="17">
        <v>15400</v>
      </c>
      <c r="E190" s="18"/>
      <c r="F190" s="22"/>
      <c r="G190" s="96">
        <v>11910</v>
      </c>
      <c r="H190" s="59">
        <f t="shared" si="11"/>
        <v>77.337662337662337</v>
      </c>
      <c r="I190" s="83">
        <v>15400</v>
      </c>
      <c r="J190" s="83"/>
      <c r="K190" s="83">
        <v>15400</v>
      </c>
      <c r="L190" s="87">
        <f t="shared" si="9"/>
        <v>29.303106633081445</v>
      </c>
      <c r="M190" s="87">
        <f t="shared" si="10"/>
        <v>0</v>
      </c>
    </row>
    <row r="191" spans="1:14" ht="15.75" customHeight="1" x14ac:dyDescent="0.25">
      <c r="A191" s="102">
        <v>10125</v>
      </c>
      <c r="B191" s="11" t="s">
        <v>82</v>
      </c>
      <c r="C191" s="136">
        <v>0</v>
      </c>
      <c r="D191" s="104">
        <f>D192</f>
        <v>2500</v>
      </c>
      <c r="E191" s="108"/>
      <c r="F191" s="109"/>
      <c r="G191" s="104">
        <f>G192</f>
        <v>840</v>
      </c>
      <c r="H191" s="59">
        <f t="shared" si="11"/>
        <v>33.6</v>
      </c>
      <c r="I191" s="107">
        <f>I192</f>
        <v>1000</v>
      </c>
      <c r="J191" s="107">
        <f>J192</f>
        <v>0</v>
      </c>
      <c r="K191" s="107">
        <f>K192</f>
        <v>1000</v>
      </c>
      <c r="L191" s="87">
        <f t="shared" si="9"/>
        <v>19.047619047619047</v>
      </c>
      <c r="M191" s="87">
        <f t="shared" si="10"/>
        <v>-60</v>
      </c>
    </row>
    <row r="192" spans="1:14" ht="15.75" customHeight="1" x14ac:dyDescent="0.25">
      <c r="A192" s="14">
        <v>55</v>
      </c>
      <c r="B192" s="15" t="s">
        <v>84</v>
      </c>
      <c r="C192" s="17">
        <v>0</v>
      </c>
      <c r="D192" s="96">
        <v>2500</v>
      </c>
      <c r="E192" s="41"/>
      <c r="F192" s="110"/>
      <c r="G192" s="96">
        <v>840</v>
      </c>
      <c r="H192" s="59">
        <f t="shared" si="11"/>
        <v>33.6</v>
      </c>
      <c r="I192" s="83">
        <v>1000</v>
      </c>
      <c r="J192" s="83"/>
      <c r="K192" s="83">
        <v>1000</v>
      </c>
      <c r="L192" s="87">
        <f t="shared" si="9"/>
        <v>19.047619047619047</v>
      </c>
      <c r="M192" s="87">
        <f t="shared" si="10"/>
        <v>-60</v>
      </c>
    </row>
    <row r="193" spans="1:14" ht="15.75" customHeight="1" x14ac:dyDescent="0.25">
      <c r="A193" s="102">
        <v>10126</v>
      </c>
      <c r="B193" s="11" t="s">
        <v>85</v>
      </c>
      <c r="C193" s="136">
        <v>0</v>
      </c>
      <c r="D193" s="104">
        <f>D194</f>
        <v>3000</v>
      </c>
      <c r="E193" s="108"/>
      <c r="F193" s="109"/>
      <c r="G193" s="104">
        <f>G194</f>
        <v>729</v>
      </c>
      <c r="H193" s="59">
        <f t="shared" si="11"/>
        <v>24.3</v>
      </c>
      <c r="I193" s="107">
        <f>I194</f>
        <v>3000</v>
      </c>
      <c r="J193" s="107">
        <f>J194</f>
        <v>0</v>
      </c>
      <c r="K193" s="107">
        <f>K194</f>
        <v>3000</v>
      </c>
      <c r="L193" s="87">
        <f t="shared" si="9"/>
        <v>311.52263374485597</v>
      </c>
      <c r="M193" s="87">
        <f t="shared" si="10"/>
        <v>0</v>
      </c>
    </row>
    <row r="194" spans="1:14" ht="15.75" customHeight="1" x14ac:dyDescent="0.25">
      <c r="A194" s="14">
        <v>55</v>
      </c>
      <c r="B194" t="s">
        <v>84</v>
      </c>
      <c r="C194" s="17">
        <v>0</v>
      </c>
      <c r="D194" s="17">
        <v>3000</v>
      </c>
      <c r="E194" s="18"/>
      <c r="F194" s="22"/>
      <c r="G194" s="96">
        <v>729</v>
      </c>
      <c r="H194" s="59">
        <f t="shared" si="11"/>
        <v>24.3</v>
      </c>
      <c r="I194" s="83">
        <v>3000</v>
      </c>
      <c r="J194" s="83"/>
      <c r="K194" s="83">
        <v>3000</v>
      </c>
      <c r="L194" s="87">
        <f t="shared" si="9"/>
        <v>311.52263374485597</v>
      </c>
      <c r="M194" s="87">
        <f t="shared" si="10"/>
        <v>0</v>
      </c>
    </row>
    <row r="195" spans="1:14" ht="15.75" customHeight="1" x14ac:dyDescent="0.25">
      <c r="A195" s="102">
        <v>10127</v>
      </c>
      <c r="B195" s="11" t="s">
        <v>86</v>
      </c>
      <c r="C195" s="136">
        <v>0</v>
      </c>
      <c r="D195" s="104">
        <f>D197+D196</f>
        <v>50550</v>
      </c>
      <c r="E195" s="108"/>
      <c r="F195" s="109"/>
      <c r="G195" s="104">
        <f>G196+G197</f>
        <v>49513.96</v>
      </c>
      <c r="H195" s="59">
        <f t="shared" si="11"/>
        <v>97.950464886251225</v>
      </c>
      <c r="I195" s="107">
        <f>I197+I196</f>
        <v>91452.76</v>
      </c>
      <c r="J195" s="107">
        <f>J197+J196</f>
        <v>-7655.76</v>
      </c>
      <c r="K195" s="107">
        <f>K197+K196</f>
        <v>83796.759999999995</v>
      </c>
      <c r="L195" s="87">
        <f t="shared" si="9"/>
        <v>69.238655118677642</v>
      </c>
      <c r="M195" s="87">
        <f t="shared" si="10"/>
        <v>65.770049455984164</v>
      </c>
    </row>
    <row r="196" spans="1:14" ht="15.75" customHeight="1" x14ac:dyDescent="0.25">
      <c r="A196" s="137">
        <v>50</v>
      </c>
      <c r="B196" s="52" t="s">
        <v>79</v>
      </c>
      <c r="C196" s="17">
        <v>0</v>
      </c>
      <c r="D196" s="127">
        <v>6000</v>
      </c>
      <c r="E196" s="138"/>
      <c r="F196" s="139"/>
      <c r="G196" s="127">
        <v>3973.86</v>
      </c>
      <c r="H196" s="59">
        <f t="shared" si="11"/>
        <v>66.231000000000009</v>
      </c>
      <c r="I196" s="130">
        <f>27455.76</f>
        <v>27455.759999999998</v>
      </c>
      <c r="J196" s="130">
        <v>-14855.76</v>
      </c>
      <c r="K196" s="130">
        <f>27455.76-14856</f>
        <v>12599.759999999998</v>
      </c>
      <c r="L196" s="87">
        <f t="shared" ref="L196:L235" si="12">(K196-G196)/G196*100</f>
        <v>217.06602648306679</v>
      </c>
      <c r="M196" s="87">
        <f t="shared" ref="M196:M236" si="13">(K196-D196)/D196*100</f>
        <v>109.99599999999998</v>
      </c>
    </row>
    <row r="197" spans="1:14" ht="15.75" customHeight="1" x14ac:dyDescent="0.25">
      <c r="A197" s="14">
        <v>55</v>
      </c>
      <c r="B197" s="15" t="s">
        <v>84</v>
      </c>
      <c r="C197" s="17">
        <v>0</v>
      </c>
      <c r="D197" s="17">
        <v>44550</v>
      </c>
      <c r="E197" s="18"/>
      <c r="F197" s="22"/>
      <c r="G197" s="96">
        <v>45540.1</v>
      </c>
      <c r="H197" s="59">
        <f t="shared" si="11"/>
        <v>102.22244668911335</v>
      </c>
      <c r="I197" s="83">
        <f>63997</f>
        <v>63997</v>
      </c>
      <c r="J197" s="83">
        <v>7200</v>
      </c>
      <c r="K197" s="83">
        <f>63997+7200</f>
        <v>71197</v>
      </c>
      <c r="L197" s="87">
        <f t="shared" si="12"/>
        <v>56.339138473565065</v>
      </c>
      <c r="M197" s="87">
        <f t="shared" si="13"/>
        <v>59.813692480359151</v>
      </c>
    </row>
    <row r="198" spans="1:14" ht="15.75" customHeight="1" x14ac:dyDescent="0.25">
      <c r="A198" s="36">
        <v>10200</v>
      </c>
      <c r="B198" s="11" t="s">
        <v>67</v>
      </c>
      <c r="C198" s="92">
        <f>C199</f>
        <v>244862.83</v>
      </c>
      <c r="D198" s="92">
        <f>D199</f>
        <v>352840</v>
      </c>
      <c r="E198" s="13">
        <v>-12.5</v>
      </c>
      <c r="F198" s="58"/>
      <c r="G198" s="92">
        <f>G199</f>
        <v>278863.55</v>
      </c>
      <c r="H198" s="59">
        <f t="shared" si="11"/>
        <v>79.033995578732558</v>
      </c>
      <c r="I198" s="88">
        <f>I199</f>
        <v>275400</v>
      </c>
      <c r="J198" s="88">
        <f>J199</f>
        <v>0</v>
      </c>
      <c r="K198" s="88">
        <f>K199</f>
        <v>275400</v>
      </c>
      <c r="L198" s="87">
        <f t="shared" si="12"/>
        <v>-1.2420232045385595</v>
      </c>
      <c r="M198" s="87">
        <f t="shared" si="13"/>
        <v>-21.947624985829268</v>
      </c>
    </row>
    <row r="199" spans="1:14" ht="15.75" customHeight="1" x14ac:dyDescent="0.25">
      <c r="A199" s="14">
        <v>41</v>
      </c>
      <c r="B199" s="15" t="s">
        <v>78</v>
      </c>
      <c r="C199" s="17">
        <v>244862.83</v>
      </c>
      <c r="D199" s="16">
        <v>352840</v>
      </c>
      <c r="E199" s="18">
        <v>-12.5</v>
      </c>
      <c r="F199" s="18"/>
      <c r="G199" s="42">
        <v>278863.55</v>
      </c>
      <c r="H199" s="59">
        <f t="shared" si="11"/>
        <v>79.033995578732558</v>
      </c>
      <c r="I199" s="74">
        <v>275400</v>
      </c>
      <c r="J199" s="74"/>
      <c r="K199" s="74">
        <v>275400</v>
      </c>
      <c r="L199" s="87">
        <f t="shared" si="12"/>
        <v>-1.2420232045385595</v>
      </c>
      <c r="M199" s="87">
        <f t="shared" si="13"/>
        <v>-21.947624985829268</v>
      </c>
      <c r="N199" s="49"/>
    </row>
    <row r="200" spans="1:14" ht="15.75" customHeight="1" x14ac:dyDescent="0.25">
      <c r="A200" s="36">
        <v>10201</v>
      </c>
      <c r="B200" s="11" t="s">
        <v>68</v>
      </c>
      <c r="C200" s="92">
        <f>C201+C202+C203</f>
        <v>61056.4</v>
      </c>
      <c r="D200" s="92">
        <f>D201+D202+D203</f>
        <v>21200</v>
      </c>
      <c r="E200" s="13">
        <v>0</v>
      </c>
      <c r="F200" s="58"/>
      <c r="G200" s="92">
        <f>G201+G202+G203</f>
        <v>17497.260000000002</v>
      </c>
      <c r="H200" s="59">
        <f t="shared" si="11"/>
        <v>82.534245283018876</v>
      </c>
      <c r="I200" s="88">
        <f>I201+I202+I203</f>
        <v>23910</v>
      </c>
      <c r="J200" s="88">
        <f>J201+J202+J203</f>
        <v>0</v>
      </c>
      <c r="K200" s="88">
        <f>K201+K202+K203</f>
        <v>23910</v>
      </c>
      <c r="L200" s="87">
        <f t="shared" si="12"/>
        <v>36.649966909104606</v>
      </c>
      <c r="M200" s="87">
        <f t="shared" si="13"/>
        <v>12.783018867924529</v>
      </c>
    </row>
    <row r="201" spans="1:14" ht="15.75" customHeight="1" x14ac:dyDescent="0.25">
      <c r="A201" s="14">
        <v>41</v>
      </c>
      <c r="B201" s="15" t="s">
        <v>3</v>
      </c>
      <c r="C201" s="17">
        <v>9850</v>
      </c>
      <c r="D201" s="16">
        <v>10200</v>
      </c>
      <c r="E201" s="18">
        <v>0</v>
      </c>
      <c r="F201" s="18"/>
      <c r="G201" s="16">
        <v>5712.5</v>
      </c>
      <c r="H201" s="59">
        <f t="shared" si="11"/>
        <v>56.004901960784316</v>
      </c>
      <c r="I201" s="74">
        <v>10440</v>
      </c>
      <c r="J201" s="74"/>
      <c r="K201" s="74">
        <v>10440</v>
      </c>
      <c r="L201" s="87">
        <f t="shared" si="12"/>
        <v>82.757111597374177</v>
      </c>
      <c r="M201" s="87">
        <f t="shared" si="13"/>
        <v>2.3529411764705883</v>
      </c>
    </row>
    <row r="202" spans="1:14" ht="15.75" customHeight="1" x14ac:dyDescent="0.25">
      <c r="A202" s="14">
        <v>50</v>
      </c>
      <c r="B202" s="52" t="s">
        <v>79</v>
      </c>
      <c r="C202" s="17">
        <v>40506.400000000001</v>
      </c>
      <c r="D202" s="16">
        <v>0</v>
      </c>
      <c r="E202" s="18">
        <v>0</v>
      </c>
      <c r="F202" s="18"/>
      <c r="G202" s="149">
        <v>0</v>
      </c>
      <c r="H202" s="59"/>
      <c r="I202" s="85">
        <v>0</v>
      </c>
      <c r="J202" s="85"/>
      <c r="K202" s="85">
        <v>0</v>
      </c>
      <c r="L202" s="87"/>
      <c r="M202" s="87"/>
      <c r="N202" s="49"/>
    </row>
    <row r="203" spans="1:14" ht="15.75" customHeight="1" x14ac:dyDescent="0.25">
      <c r="A203" s="14">
        <v>55</v>
      </c>
      <c r="B203" s="52" t="s">
        <v>84</v>
      </c>
      <c r="C203" s="17">
        <v>10700</v>
      </c>
      <c r="D203" s="16">
        <v>11000</v>
      </c>
      <c r="E203" s="18">
        <v>0</v>
      </c>
      <c r="F203" s="18"/>
      <c r="G203" s="16">
        <v>11784.76</v>
      </c>
      <c r="H203" s="59">
        <f t="shared" si="11"/>
        <v>107.13418181818182</v>
      </c>
      <c r="I203" s="85">
        <v>13470</v>
      </c>
      <c r="J203" s="85"/>
      <c r="K203" s="85">
        <v>13470</v>
      </c>
      <c r="L203" s="87">
        <f t="shared" si="12"/>
        <v>14.300163940546943</v>
      </c>
      <c r="M203" s="87">
        <f t="shared" si="13"/>
        <v>22.454545454545453</v>
      </c>
    </row>
    <row r="204" spans="1:14" ht="15.75" customHeight="1" x14ac:dyDescent="0.25">
      <c r="A204" s="102">
        <v>10202</v>
      </c>
      <c r="B204" s="11" t="s">
        <v>88</v>
      </c>
      <c r="C204" s="104">
        <v>0</v>
      </c>
      <c r="D204" s="104">
        <f>D205</f>
        <v>42439</v>
      </c>
      <c r="E204" s="108"/>
      <c r="F204" s="109"/>
      <c r="G204" s="104">
        <f>G205</f>
        <v>42721.83</v>
      </c>
      <c r="H204" s="59">
        <f t="shared" si="11"/>
        <v>100.66643888875799</v>
      </c>
      <c r="I204" s="107">
        <f>I205+I206</f>
        <v>60200</v>
      </c>
      <c r="J204" s="107">
        <f>J205+J206</f>
        <v>0</v>
      </c>
      <c r="K204" s="107">
        <f>K205+K206</f>
        <v>60200</v>
      </c>
      <c r="L204" s="87">
        <f t="shared" si="12"/>
        <v>40.911566756386605</v>
      </c>
      <c r="M204" s="87">
        <f t="shared" si="13"/>
        <v>41.850656236009328</v>
      </c>
    </row>
    <row r="205" spans="1:14" ht="15.75" customHeight="1" x14ac:dyDescent="0.25">
      <c r="A205" s="14">
        <v>50</v>
      </c>
      <c r="B205" s="15" t="s">
        <v>79</v>
      </c>
      <c r="C205" s="17">
        <v>0</v>
      </c>
      <c r="D205" s="17">
        <v>42439</v>
      </c>
      <c r="E205" s="18"/>
      <c r="F205" s="22"/>
      <c r="G205" s="17">
        <v>42721.83</v>
      </c>
      <c r="H205" s="59">
        <f t="shared" si="11"/>
        <v>100.66643888875799</v>
      </c>
      <c r="I205" s="85">
        <v>45000</v>
      </c>
      <c r="J205" s="85"/>
      <c r="K205" s="85">
        <v>45000</v>
      </c>
      <c r="L205" s="87">
        <f t="shared" si="12"/>
        <v>5.3325665122491195</v>
      </c>
      <c r="M205" s="87">
        <f t="shared" si="13"/>
        <v>6.0345436980136196</v>
      </c>
    </row>
    <row r="206" spans="1:14" ht="15.75" customHeight="1" x14ac:dyDescent="0.25">
      <c r="A206" s="14">
        <v>55</v>
      </c>
      <c r="B206" s="15" t="s">
        <v>84</v>
      </c>
      <c r="C206" s="17">
        <v>0</v>
      </c>
      <c r="D206" s="17">
        <v>0</v>
      </c>
      <c r="E206" s="18"/>
      <c r="F206" s="22"/>
      <c r="G206" s="17">
        <v>0</v>
      </c>
      <c r="H206" s="59"/>
      <c r="I206" s="85">
        <v>15200</v>
      </c>
      <c r="J206" s="85"/>
      <c r="K206" s="85">
        <v>15200</v>
      </c>
      <c r="L206" s="87"/>
      <c r="M206" s="87"/>
    </row>
    <row r="207" spans="1:14" ht="15.75" customHeight="1" x14ac:dyDescent="0.25">
      <c r="A207" s="36">
        <v>10400</v>
      </c>
      <c r="B207" s="11" t="s">
        <v>69</v>
      </c>
      <c r="C207" s="92">
        <f>C208+C209</f>
        <v>125586</v>
      </c>
      <c r="D207" s="92">
        <f>D208+D209</f>
        <v>90800</v>
      </c>
      <c r="E207" s="13">
        <v>-4.74</v>
      </c>
      <c r="F207" s="58"/>
      <c r="G207" s="92">
        <f>G208+G209</f>
        <v>77770</v>
      </c>
      <c r="H207" s="59">
        <f t="shared" si="11"/>
        <v>85.649779735682813</v>
      </c>
      <c r="I207" s="88">
        <f>I208+I209</f>
        <v>94000</v>
      </c>
      <c r="J207" s="88">
        <f>J208+J209</f>
        <v>0</v>
      </c>
      <c r="K207" s="88">
        <f>K208+K209</f>
        <v>94000</v>
      </c>
      <c r="L207" s="87">
        <f t="shared" si="12"/>
        <v>20.869229780120868</v>
      </c>
      <c r="M207" s="87">
        <f t="shared" si="13"/>
        <v>3.5242290748898681</v>
      </c>
    </row>
    <row r="208" spans="1:14" ht="15.75" customHeight="1" x14ac:dyDescent="0.25">
      <c r="A208" s="14">
        <v>41</v>
      </c>
      <c r="B208" s="15" t="s">
        <v>3</v>
      </c>
      <c r="C208" s="17">
        <v>25586</v>
      </c>
      <c r="D208" s="16">
        <v>12000</v>
      </c>
      <c r="E208" s="18">
        <v>0</v>
      </c>
      <c r="F208" s="18"/>
      <c r="G208" s="16">
        <v>9886</v>
      </c>
      <c r="H208" s="59">
        <f t="shared" si="11"/>
        <v>82.383333333333326</v>
      </c>
      <c r="I208" s="74">
        <v>12000</v>
      </c>
      <c r="J208" s="74"/>
      <c r="K208" s="74">
        <v>12000</v>
      </c>
      <c r="L208" s="87">
        <f t="shared" si="12"/>
        <v>21.383775035403602</v>
      </c>
      <c r="M208" s="87">
        <f t="shared" si="13"/>
        <v>0</v>
      </c>
    </row>
    <row r="209" spans="1:14" ht="15.75" customHeight="1" x14ac:dyDescent="0.25">
      <c r="A209" s="14">
        <v>55</v>
      </c>
      <c r="B209" s="15" t="s">
        <v>6</v>
      </c>
      <c r="C209" s="17">
        <v>100000</v>
      </c>
      <c r="D209" s="16">
        <v>78800</v>
      </c>
      <c r="E209" s="18">
        <v>-5.88</v>
      </c>
      <c r="F209" s="18"/>
      <c r="G209" s="16">
        <v>67884</v>
      </c>
      <c r="H209" s="59">
        <f t="shared" si="11"/>
        <v>86.147208121827418</v>
      </c>
      <c r="I209" s="74">
        <v>82000</v>
      </c>
      <c r="J209" s="74"/>
      <c r="K209" s="74">
        <v>82000</v>
      </c>
      <c r="L209" s="87">
        <f t="shared" si="12"/>
        <v>20.794296152259736</v>
      </c>
      <c r="M209" s="87">
        <f t="shared" si="13"/>
        <v>4.0609137055837561</v>
      </c>
      <c r="N209" s="49"/>
    </row>
    <row r="210" spans="1:14" ht="15.75" customHeight="1" x14ac:dyDescent="0.25">
      <c r="A210" s="36">
        <v>10402</v>
      </c>
      <c r="B210" s="86" t="s">
        <v>77</v>
      </c>
      <c r="C210" s="92">
        <f>C211+C213</f>
        <v>174637.84</v>
      </c>
      <c r="D210" s="92">
        <f>D211+D213+D212</f>
        <v>111692.56999999999</v>
      </c>
      <c r="E210" s="13">
        <v>1.59</v>
      </c>
      <c r="F210" s="58"/>
      <c r="G210" s="92">
        <f>G211+G213+G212</f>
        <v>101298.84999999999</v>
      </c>
      <c r="H210" s="59">
        <f t="shared" si="11"/>
        <v>90.69434967787025</v>
      </c>
      <c r="I210" s="88">
        <f>I211+I213+I212</f>
        <v>97294.65</v>
      </c>
      <c r="J210" s="88">
        <f>J211+J213+J212</f>
        <v>0</v>
      </c>
      <c r="K210" s="88">
        <f>K211+K213+K212</f>
        <v>97294.65</v>
      </c>
      <c r="L210" s="87">
        <f t="shared" si="12"/>
        <v>-3.9528582999708259</v>
      </c>
      <c r="M210" s="87">
        <f t="shared" si="13"/>
        <v>-12.890669450976015</v>
      </c>
    </row>
    <row r="211" spans="1:14" ht="15.75" customHeight="1" x14ac:dyDescent="0.25">
      <c r="A211" s="14">
        <v>41</v>
      </c>
      <c r="B211" s="15" t="s">
        <v>3</v>
      </c>
      <c r="C211" s="17">
        <v>136666</v>
      </c>
      <c r="D211" s="16">
        <v>68261</v>
      </c>
      <c r="E211" s="18">
        <v>7.0000000000000007E-2</v>
      </c>
      <c r="F211" s="18"/>
      <c r="G211" s="16">
        <v>73513</v>
      </c>
      <c r="H211" s="59">
        <f t="shared" si="11"/>
        <v>107.69399803694644</v>
      </c>
      <c r="I211" s="74">
        <v>63000</v>
      </c>
      <c r="J211" s="74"/>
      <c r="K211" s="74">
        <v>63000</v>
      </c>
      <c r="L211" s="87">
        <f t="shared" si="12"/>
        <v>-14.30087195462027</v>
      </c>
      <c r="M211" s="87">
        <f t="shared" si="13"/>
        <v>-7.7071827251285505</v>
      </c>
      <c r="N211" s="49"/>
    </row>
    <row r="212" spans="1:14" ht="15.75" customHeight="1" x14ac:dyDescent="0.25">
      <c r="A212" s="14">
        <v>50</v>
      </c>
      <c r="B212" s="15" t="s">
        <v>79</v>
      </c>
      <c r="C212" s="17">
        <v>10061.76</v>
      </c>
      <c r="D212" s="16">
        <v>15172.92</v>
      </c>
      <c r="E212" s="18"/>
      <c r="F212" s="18"/>
      <c r="G212" s="16">
        <v>11393.87</v>
      </c>
      <c r="H212" s="59">
        <f t="shared" si="11"/>
        <v>75.093455972878004</v>
      </c>
      <c r="I212" s="74">
        <v>15927.65</v>
      </c>
      <c r="J212" s="74"/>
      <c r="K212" s="74">
        <v>15927.65</v>
      </c>
      <c r="L212" s="87">
        <f t="shared" si="12"/>
        <v>39.791396601856945</v>
      </c>
      <c r="M212" s="87">
        <f t="shared" si="13"/>
        <v>4.9741908610867229</v>
      </c>
    </row>
    <row r="213" spans="1:14" ht="15.75" customHeight="1" x14ac:dyDescent="0.25">
      <c r="A213" s="14">
        <v>55</v>
      </c>
      <c r="B213" s="52" t="s">
        <v>84</v>
      </c>
      <c r="C213" s="17">
        <v>37971.839999999997</v>
      </c>
      <c r="D213" s="16">
        <v>28258.65</v>
      </c>
      <c r="E213" s="18">
        <v>15.92</v>
      </c>
      <c r="F213" s="18"/>
      <c r="G213" s="16">
        <v>16391.98</v>
      </c>
      <c r="H213" s="59">
        <f t="shared" si="11"/>
        <v>58.006946545571004</v>
      </c>
      <c r="I213" s="74">
        <v>18367</v>
      </c>
      <c r="J213" s="74"/>
      <c r="K213" s="74">
        <v>18367</v>
      </c>
      <c r="L213" s="87">
        <f t="shared" si="12"/>
        <v>12.048696984744982</v>
      </c>
      <c r="M213" s="87">
        <f t="shared" si="13"/>
        <v>-35.003972235050156</v>
      </c>
      <c r="N213" s="62"/>
    </row>
    <row r="214" spans="1:14" ht="15.75" customHeight="1" x14ac:dyDescent="0.25">
      <c r="A214" s="102">
        <v>10403</v>
      </c>
      <c r="B214" s="11" t="s">
        <v>87</v>
      </c>
      <c r="C214" s="136">
        <v>0</v>
      </c>
      <c r="D214" s="104">
        <f>D215</f>
        <v>73250</v>
      </c>
      <c r="E214" s="108"/>
      <c r="F214" s="109"/>
      <c r="G214" s="104">
        <f>G215</f>
        <v>53565.77</v>
      </c>
      <c r="H214" s="59">
        <f t="shared" si="11"/>
        <v>73.127331058020474</v>
      </c>
      <c r="I214" s="107">
        <f>I215+I216</f>
        <v>135670.39999999999</v>
      </c>
      <c r="J214" s="107">
        <f>J215+J216</f>
        <v>7225.2</v>
      </c>
      <c r="K214" s="107">
        <f>K215+K216</f>
        <v>142895.6</v>
      </c>
      <c r="L214" s="87">
        <f t="shared" si="12"/>
        <v>166.76663100334414</v>
      </c>
      <c r="M214" s="87">
        <f t="shared" si="13"/>
        <v>95.079317406143346</v>
      </c>
      <c r="N214" s="62"/>
    </row>
    <row r="215" spans="1:14" ht="15.75" customHeight="1" x14ac:dyDescent="0.25">
      <c r="A215" s="14">
        <v>50</v>
      </c>
      <c r="B215" s="15" t="s">
        <v>79</v>
      </c>
      <c r="C215" s="17">
        <v>0</v>
      </c>
      <c r="D215" s="17">
        <v>73250</v>
      </c>
      <c r="E215" s="18"/>
      <c r="F215" s="22"/>
      <c r="G215" s="17">
        <v>53565.77</v>
      </c>
      <c r="H215" s="59">
        <f t="shared" si="11"/>
        <v>73.127331058020474</v>
      </c>
      <c r="I215" s="74">
        <f>134870.4</f>
        <v>134870.39999999999</v>
      </c>
      <c r="J215" s="74">
        <v>7225.2</v>
      </c>
      <c r="K215" s="74">
        <f>134870.4+7225.2</f>
        <v>142095.6</v>
      </c>
      <c r="L215" s="87">
        <f t="shared" si="12"/>
        <v>165.27313991752573</v>
      </c>
      <c r="M215" s="87">
        <f t="shared" si="13"/>
        <v>93.98716723549488</v>
      </c>
      <c r="N215" s="62"/>
    </row>
    <row r="216" spans="1:14" ht="15.75" customHeight="1" x14ac:dyDescent="0.25">
      <c r="A216" s="14">
        <v>55</v>
      </c>
      <c r="B216" s="15" t="s">
        <v>84</v>
      </c>
      <c r="C216" s="17">
        <v>0</v>
      </c>
      <c r="D216" s="17">
        <v>0</v>
      </c>
      <c r="E216" s="18"/>
      <c r="F216" s="22"/>
      <c r="G216" s="17">
        <v>0</v>
      </c>
      <c r="H216" s="59"/>
      <c r="I216" s="74">
        <v>800</v>
      </c>
      <c r="J216" s="74"/>
      <c r="K216" s="74">
        <v>800</v>
      </c>
      <c r="L216" s="87"/>
      <c r="M216" s="87"/>
      <c r="N216" s="62"/>
    </row>
    <row r="217" spans="1:14" ht="15.75" customHeight="1" x14ac:dyDescent="0.25">
      <c r="A217" s="102">
        <v>10404</v>
      </c>
      <c r="B217" s="11" t="s">
        <v>89</v>
      </c>
      <c r="C217" s="104">
        <v>0</v>
      </c>
      <c r="D217" s="104">
        <f>D218</f>
        <v>1200</v>
      </c>
      <c r="E217" s="108"/>
      <c r="F217" s="109"/>
      <c r="G217" s="104">
        <v>0</v>
      </c>
      <c r="H217" s="59">
        <f t="shared" si="11"/>
        <v>0</v>
      </c>
      <c r="I217" s="107">
        <f>I218</f>
        <v>1200</v>
      </c>
      <c r="J217" s="107">
        <f>J218</f>
        <v>0</v>
      </c>
      <c r="K217" s="107">
        <f>K218</f>
        <v>1200</v>
      </c>
      <c r="L217" s="87"/>
      <c r="M217" s="87">
        <f t="shared" si="13"/>
        <v>0</v>
      </c>
      <c r="N217" s="62"/>
    </row>
    <row r="218" spans="1:14" ht="15.75" customHeight="1" x14ac:dyDescent="0.25">
      <c r="A218" s="14">
        <v>55</v>
      </c>
      <c r="B218" s="15" t="s">
        <v>84</v>
      </c>
      <c r="C218" s="17">
        <v>0</v>
      </c>
      <c r="D218" s="17">
        <v>1200</v>
      </c>
      <c r="E218" s="18"/>
      <c r="F218" s="22"/>
      <c r="G218" s="17">
        <v>0</v>
      </c>
      <c r="H218" s="59">
        <f t="shared" si="11"/>
        <v>0</v>
      </c>
      <c r="I218" s="74">
        <v>1200</v>
      </c>
      <c r="J218" s="74"/>
      <c r="K218" s="74">
        <v>1200</v>
      </c>
      <c r="L218" s="87"/>
      <c r="M218" s="87">
        <f t="shared" si="13"/>
        <v>0</v>
      </c>
      <c r="N218" s="62"/>
    </row>
    <row r="219" spans="1:14" ht="15.75" customHeight="1" x14ac:dyDescent="0.25">
      <c r="A219" s="102">
        <v>10700</v>
      </c>
      <c r="B219" s="11" t="s">
        <v>90</v>
      </c>
      <c r="C219" s="104">
        <v>0</v>
      </c>
      <c r="D219" s="104">
        <f>D220</f>
        <v>500</v>
      </c>
      <c r="E219" s="108"/>
      <c r="F219" s="109"/>
      <c r="G219" s="104">
        <v>0</v>
      </c>
      <c r="H219" s="59">
        <f t="shared" si="11"/>
        <v>0</v>
      </c>
      <c r="I219" s="107">
        <f>I220</f>
        <v>500</v>
      </c>
      <c r="J219" s="107">
        <f>J220</f>
        <v>0</v>
      </c>
      <c r="K219" s="107">
        <f>K220</f>
        <v>500</v>
      </c>
      <c r="L219" s="87"/>
      <c r="M219" s="87">
        <f t="shared" si="13"/>
        <v>0</v>
      </c>
      <c r="N219" s="62"/>
    </row>
    <row r="220" spans="1:14" ht="15.75" customHeight="1" x14ac:dyDescent="0.25">
      <c r="A220" s="14">
        <v>55</v>
      </c>
      <c r="B220" s="15" t="s">
        <v>84</v>
      </c>
      <c r="C220" s="17">
        <v>0</v>
      </c>
      <c r="D220" s="17">
        <v>500</v>
      </c>
      <c r="E220" s="18"/>
      <c r="F220" s="22"/>
      <c r="G220" s="17">
        <v>0</v>
      </c>
      <c r="H220" s="59">
        <f t="shared" si="11"/>
        <v>0</v>
      </c>
      <c r="I220" s="74">
        <v>500</v>
      </c>
      <c r="J220" s="74"/>
      <c r="K220" s="74">
        <v>500</v>
      </c>
      <c r="L220" s="87"/>
      <c r="M220" s="87">
        <f t="shared" si="13"/>
        <v>0</v>
      </c>
      <c r="N220" s="62"/>
    </row>
    <row r="221" spans="1:14" ht="15.75" customHeight="1" x14ac:dyDescent="0.25">
      <c r="A221" s="36">
        <v>10701</v>
      </c>
      <c r="B221" s="11" t="s">
        <v>70</v>
      </c>
      <c r="C221" s="92">
        <f>C222</f>
        <v>38432</v>
      </c>
      <c r="D221" s="92">
        <f>D222</f>
        <v>36283</v>
      </c>
      <c r="E221" s="13">
        <v>0</v>
      </c>
      <c r="F221" s="58"/>
      <c r="G221" s="92">
        <f>G222</f>
        <v>31951.98</v>
      </c>
      <c r="H221" s="59">
        <f t="shared" si="11"/>
        <v>88.063225201885174</v>
      </c>
      <c r="I221" s="88">
        <f>I222</f>
        <v>31098</v>
      </c>
      <c r="J221" s="88">
        <f>J222</f>
        <v>0</v>
      </c>
      <c r="K221" s="88">
        <f>K222</f>
        <v>31098</v>
      </c>
      <c r="L221" s="87">
        <f t="shared" si="12"/>
        <v>-2.6726982177630294</v>
      </c>
      <c r="M221" s="87">
        <f t="shared" si="13"/>
        <v>-14.290439048590247</v>
      </c>
    </row>
    <row r="222" spans="1:14" ht="15.75" customHeight="1" x14ac:dyDescent="0.25">
      <c r="A222" s="14">
        <v>41</v>
      </c>
      <c r="B222" s="15" t="s">
        <v>3</v>
      </c>
      <c r="C222" s="17">
        <v>38432</v>
      </c>
      <c r="D222" s="16">
        <v>36283</v>
      </c>
      <c r="E222" s="18">
        <v>0</v>
      </c>
      <c r="F222" s="18"/>
      <c r="G222" s="42">
        <v>31951.98</v>
      </c>
      <c r="H222" s="59">
        <f t="shared" si="11"/>
        <v>88.063225201885174</v>
      </c>
      <c r="I222" s="74">
        <v>31098</v>
      </c>
      <c r="J222" s="74"/>
      <c r="K222" s="74">
        <v>31098</v>
      </c>
      <c r="L222" s="87">
        <f t="shared" si="12"/>
        <v>-2.6726982177630294</v>
      </c>
      <c r="M222" s="87">
        <f t="shared" si="13"/>
        <v>-14.290439048590247</v>
      </c>
      <c r="N222" s="49"/>
    </row>
    <row r="223" spans="1:14" ht="15.75" hidden="1" customHeight="1" x14ac:dyDescent="0.25">
      <c r="A223" s="36">
        <v>10702</v>
      </c>
      <c r="B223" s="11" t="s">
        <v>71</v>
      </c>
      <c r="C223" s="92">
        <f>C224+C225</f>
        <v>82794.799999999988</v>
      </c>
      <c r="D223" s="92">
        <f>D224+D225</f>
        <v>0</v>
      </c>
      <c r="E223" s="13">
        <v>-69.36</v>
      </c>
      <c r="F223" s="58"/>
      <c r="G223" s="92">
        <f>G224+G225</f>
        <v>0</v>
      </c>
      <c r="H223" s="59"/>
      <c r="I223" s="88">
        <f>I224+I225</f>
        <v>0</v>
      </c>
      <c r="J223" s="88"/>
      <c r="K223" s="88">
        <f>K224+K225</f>
        <v>0</v>
      </c>
      <c r="L223" s="87" t="e">
        <f t="shared" si="12"/>
        <v>#DIV/0!</v>
      </c>
      <c r="M223" s="87" t="e">
        <f t="shared" si="13"/>
        <v>#DIV/0!</v>
      </c>
    </row>
    <row r="224" spans="1:14" ht="15.75" hidden="1" customHeight="1" x14ac:dyDescent="0.25">
      <c r="A224" s="14">
        <v>50</v>
      </c>
      <c r="B224" s="15" t="s">
        <v>5</v>
      </c>
      <c r="C224" s="17">
        <v>3755.87</v>
      </c>
      <c r="D224" s="16">
        <v>0</v>
      </c>
      <c r="E224" s="18">
        <v>161.88</v>
      </c>
      <c r="F224" s="18"/>
      <c r="G224" s="16">
        <v>0</v>
      </c>
      <c r="H224" s="59"/>
      <c r="I224" s="74">
        <v>0</v>
      </c>
      <c r="J224" s="74"/>
      <c r="K224" s="74">
        <v>0</v>
      </c>
      <c r="L224" s="87" t="e">
        <f t="shared" si="12"/>
        <v>#DIV/0!</v>
      </c>
      <c r="M224" s="87" t="e">
        <f t="shared" si="13"/>
        <v>#DIV/0!</v>
      </c>
    </row>
    <row r="225" spans="1:14" ht="15.75" hidden="1" customHeight="1" x14ac:dyDescent="0.25">
      <c r="A225" s="14">
        <v>55</v>
      </c>
      <c r="B225" s="52" t="s">
        <v>84</v>
      </c>
      <c r="C225" s="17">
        <v>79038.929999999993</v>
      </c>
      <c r="D225" s="16">
        <v>0</v>
      </c>
      <c r="E225" s="18">
        <v>-72.37</v>
      </c>
      <c r="F225" s="18"/>
      <c r="G225" s="16">
        <v>0</v>
      </c>
      <c r="H225" s="59"/>
      <c r="I225" s="74">
        <v>0</v>
      </c>
      <c r="J225" s="74"/>
      <c r="K225" s="74">
        <v>0</v>
      </c>
      <c r="L225" s="87" t="e">
        <f t="shared" si="12"/>
        <v>#DIV/0!</v>
      </c>
      <c r="M225" s="87" t="e">
        <f t="shared" si="13"/>
        <v>#DIV/0!</v>
      </c>
    </row>
    <row r="226" spans="1:14" ht="15.75" customHeight="1" x14ac:dyDescent="0.25">
      <c r="A226" s="102">
        <v>10704</v>
      </c>
      <c r="B226" s="11" t="s">
        <v>91</v>
      </c>
      <c r="C226" s="136">
        <v>0</v>
      </c>
      <c r="D226" s="104">
        <f>D227</f>
        <v>500</v>
      </c>
      <c r="E226" s="104">
        <v>0</v>
      </c>
      <c r="F226" s="104">
        <v>0</v>
      </c>
      <c r="G226" s="104">
        <f>G227</f>
        <v>315</v>
      </c>
      <c r="H226" s="59">
        <f t="shared" si="11"/>
        <v>63</v>
      </c>
      <c r="I226" s="107">
        <f>I227</f>
        <v>600</v>
      </c>
      <c r="J226" s="107">
        <f>J227</f>
        <v>0</v>
      </c>
      <c r="K226" s="107">
        <f>K227</f>
        <v>600</v>
      </c>
      <c r="L226" s="87">
        <f t="shared" si="12"/>
        <v>90.476190476190482</v>
      </c>
      <c r="M226" s="87">
        <f t="shared" si="13"/>
        <v>20</v>
      </c>
    </row>
    <row r="227" spans="1:14" ht="15.75" customHeight="1" x14ac:dyDescent="0.25">
      <c r="A227" s="14">
        <v>55</v>
      </c>
      <c r="B227" s="15" t="s">
        <v>84</v>
      </c>
      <c r="C227" s="17">
        <v>0</v>
      </c>
      <c r="D227" s="17">
        <v>500</v>
      </c>
      <c r="E227" s="18"/>
      <c r="F227" s="22"/>
      <c r="G227" s="17">
        <v>315</v>
      </c>
      <c r="H227" s="59">
        <f t="shared" si="11"/>
        <v>63</v>
      </c>
      <c r="I227" s="74">
        <v>600</v>
      </c>
      <c r="J227" s="74"/>
      <c r="K227" s="74">
        <v>600</v>
      </c>
      <c r="L227" s="87">
        <f t="shared" si="12"/>
        <v>90.476190476190482</v>
      </c>
      <c r="M227" s="87">
        <f t="shared" si="13"/>
        <v>20</v>
      </c>
    </row>
    <row r="228" spans="1:14" ht="15.75" customHeight="1" x14ac:dyDescent="0.25">
      <c r="A228" s="36">
        <v>10900</v>
      </c>
      <c r="B228" s="21" t="s">
        <v>72</v>
      </c>
      <c r="C228" s="92">
        <f>C229+C230</f>
        <v>63813.490000000005</v>
      </c>
      <c r="D228" s="92">
        <f>D229+D230</f>
        <v>70599.8</v>
      </c>
      <c r="E228" s="13">
        <v>0.21</v>
      </c>
      <c r="F228" s="58"/>
      <c r="G228" s="92">
        <f>G229+G230</f>
        <v>43439.17</v>
      </c>
      <c r="H228" s="59">
        <f t="shared" si="11"/>
        <v>61.528743707489255</v>
      </c>
      <c r="I228" s="88">
        <f>I229+I230</f>
        <v>68047.78</v>
      </c>
      <c r="J228" s="88">
        <f>J229+J230</f>
        <v>0</v>
      </c>
      <c r="K228" s="88">
        <f>K229+K230</f>
        <v>68047.78</v>
      </c>
      <c r="L228" s="87">
        <f t="shared" si="12"/>
        <v>56.650737111229347</v>
      </c>
      <c r="M228" s="87">
        <f t="shared" si="13"/>
        <v>-3.6147694469389489</v>
      </c>
    </row>
    <row r="229" spans="1:14" ht="15.75" customHeight="1" x14ac:dyDescent="0.25">
      <c r="A229" s="14">
        <v>50</v>
      </c>
      <c r="B229" s="15" t="s">
        <v>5</v>
      </c>
      <c r="C229" s="17">
        <v>24715.59</v>
      </c>
      <c r="D229" s="16">
        <v>25700</v>
      </c>
      <c r="E229" s="18">
        <v>10.18</v>
      </c>
      <c r="F229" s="18"/>
      <c r="G229" s="16">
        <v>19158.830000000002</v>
      </c>
      <c r="H229" s="59">
        <f t="shared" si="11"/>
        <v>74.547976653696509</v>
      </c>
      <c r="I229" s="74">
        <v>21632.78</v>
      </c>
      <c r="J229" s="74"/>
      <c r="K229" s="74">
        <v>21632.78</v>
      </c>
      <c r="L229" s="87">
        <f t="shared" si="12"/>
        <v>12.91284488666582</v>
      </c>
      <c r="M229" s="87">
        <f t="shared" si="13"/>
        <v>-15.825758754863816</v>
      </c>
      <c r="N229" s="49"/>
    </row>
    <row r="230" spans="1:14" ht="15.75" customHeight="1" x14ac:dyDescent="0.25">
      <c r="A230" s="14">
        <v>55</v>
      </c>
      <c r="B230" s="15" t="s">
        <v>6</v>
      </c>
      <c r="C230" s="17">
        <v>39097.9</v>
      </c>
      <c r="D230" s="16">
        <v>44899.8</v>
      </c>
      <c r="E230" s="18">
        <v>-23.91</v>
      </c>
      <c r="F230" s="18"/>
      <c r="G230" s="16">
        <v>24280.34</v>
      </c>
      <c r="H230" s="59">
        <f t="shared" si="11"/>
        <v>54.076721945309323</v>
      </c>
      <c r="I230" s="74">
        <v>46415</v>
      </c>
      <c r="J230" s="74"/>
      <c r="K230" s="74">
        <v>46415</v>
      </c>
      <c r="L230" s="87">
        <f t="shared" si="12"/>
        <v>91.162891458686317</v>
      </c>
      <c r="M230" s="87">
        <f t="shared" si="13"/>
        <v>3.3746252767272842</v>
      </c>
      <c r="N230" s="49"/>
    </row>
    <row r="231" spans="1:14" ht="15.75" customHeight="1" x14ac:dyDescent="0.25">
      <c r="A231" s="19"/>
      <c r="B231" s="3" t="s">
        <v>73</v>
      </c>
      <c r="C231" s="92">
        <f>C232+C233+C234+C235+C236</f>
        <v>12157883.880000001</v>
      </c>
      <c r="D231" s="94">
        <f>D232+D233+D234+D235+D236</f>
        <v>12664375.340000002</v>
      </c>
      <c r="E231" s="122">
        <v>4.1900000000000004</v>
      </c>
      <c r="F231" s="122"/>
      <c r="G231" s="94">
        <f>G232+G233+G234+G235+G236</f>
        <v>11822799.669999998</v>
      </c>
      <c r="H231" s="59">
        <f t="shared" si="11"/>
        <v>93.354779470710142</v>
      </c>
      <c r="I231" s="88">
        <f>I232+I233+I234+I235+I236</f>
        <v>12965479.210000001</v>
      </c>
      <c r="J231" s="88">
        <f>J232+J233+J234+J235+J236</f>
        <v>319813.23</v>
      </c>
      <c r="K231" s="88">
        <f>K232+K233+K234+K235+K236</f>
        <v>13248875.810000001</v>
      </c>
      <c r="L231" s="87">
        <f t="shared" si="12"/>
        <v>12.06208495284436</v>
      </c>
      <c r="M231" s="87">
        <f t="shared" si="13"/>
        <v>4.6153122780076945</v>
      </c>
    </row>
    <row r="232" spans="1:14" ht="13.95" customHeight="1" x14ac:dyDescent="0.25">
      <c r="A232" s="6">
        <v>41</v>
      </c>
      <c r="B232" s="1" t="s">
        <v>3</v>
      </c>
      <c r="C232" s="8">
        <f>C4+C24+C72+C116+C180</f>
        <v>514689.82999999996</v>
      </c>
      <c r="D232" s="7">
        <f>D180+D116+D72+D24+D4+D67</f>
        <v>521823</v>
      </c>
      <c r="E232" s="9">
        <v>35.200000000000003</v>
      </c>
      <c r="F232" s="9"/>
      <c r="G232" s="7">
        <f>G4+G72+G116+G180</f>
        <v>427382.88999999996</v>
      </c>
      <c r="H232" s="59">
        <f t="shared" si="11"/>
        <v>81.901888188140418</v>
      </c>
      <c r="I232" s="56">
        <f>I4+I24+I64+I72+I116+I180</f>
        <v>441420</v>
      </c>
      <c r="J232" s="56">
        <f>J4+J24+J64+J72+J116+J180</f>
        <v>0</v>
      </c>
      <c r="K232" s="56">
        <f>K4+K24+K64+K72+K116+K180</f>
        <v>441420</v>
      </c>
      <c r="L232" s="87">
        <f t="shared" si="12"/>
        <v>3.2844342458351683</v>
      </c>
      <c r="M232" s="87">
        <f t="shared" si="13"/>
        <v>-15.408098148222674</v>
      </c>
    </row>
    <row r="233" spans="1:14" ht="15.75" customHeight="1" x14ac:dyDescent="0.25">
      <c r="A233" s="6">
        <v>45</v>
      </c>
      <c r="B233" s="1" t="s">
        <v>4</v>
      </c>
      <c r="C233" s="8">
        <f>C5+C50+C73+C117</f>
        <v>351529.2</v>
      </c>
      <c r="D233" s="7">
        <f>D117+D73+D50+D5</f>
        <v>386480</v>
      </c>
      <c r="E233" s="9">
        <v>6.46</v>
      </c>
      <c r="F233" s="9"/>
      <c r="G233" s="7">
        <f>G5+G50+G73+G117</f>
        <v>357015.97</v>
      </c>
      <c r="H233" s="59">
        <f t="shared" ref="H233:H236" si="14">G233/D233*100</f>
        <v>92.37631184019871</v>
      </c>
      <c r="I233" s="56">
        <f>I5+I50+I73+I117</f>
        <v>419300</v>
      </c>
      <c r="J233" s="56">
        <f>J5+J50+J73+J117</f>
        <v>-17793.599999999999</v>
      </c>
      <c r="K233" s="56">
        <f>K5+K50+K73+K117</f>
        <v>401506.4</v>
      </c>
      <c r="L233" s="87">
        <f t="shared" si="12"/>
        <v>12.461747859626575</v>
      </c>
      <c r="M233" s="87">
        <f t="shared" si="13"/>
        <v>3.888014903746642</v>
      </c>
    </row>
    <row r="234" spans="1:14" ht="15.75" customHeight="1" x14ac:dyDescent="0.25">
      <c r="A234" s="6">
        <v>50</v>
      </c>
      <c r="B234" s="1" t="s">
        <v>5</v>
      </c>
      <c r="C234" s="8">
        <f>C6+C42+C51+C74+C118+C181</f>
        <v>7629137.9100000011</v>
      </c>
      <c r="D234" s="7">
        <f>D6+D42+D51+D74+D118+D181</f>
        <v>7930704.4799999995</v>
      </c>
      <c r="E234" s="9">
        <v>9.6999999999999993</v>
      </c>
      <c r="F234" s="9"/>
      <c r="G234" s="7">
        <f>G6+G42+G51+G74+G118+G181</f>
        <v>7636801.9299999997</v>
      </c>
      <c r="H234" s="59">
        <f t="shared" si="14"/>
        <v>96.294117997446804</v>
      </c>
      <c r="I234" s="56">
        <f>I6+I42+I51+I74+I118+I181+I65</f>
        <v>8215102.5300000003</v>
      </c>
      <c r="J234" s="56">
        <f>J6+J42+J51+J74+J118+J181+J65</f>
        <v>254450.83</v>
      </c>
      <c r="K234" s="56">
        <f>K6+K42+K51+K74+K118+K181+K65</f>
        <v>8431027.2200000007</v>
      </c>
      <c r="L234" s="87">
        <f t="shared" si="12"/>
        <v>10.399972361205407</v>
      </c>
      <c r="M234" s="87">
        <f t="shared" si="13"/>
        <v>6.3086796546477943</v>
      </c>
    </row>
    <row r="235" spans="1:14" ht="15.75" customHeight="1" x14ac:dyDescent="0.25">
      <c r="A235" s="6">
        <v>55</v>
      </c>
      <c r="B235" s="1" t="s">
        <v>6</v>
      </c>
      <c r="C235" s="8">
        <f>C7+C25+C32+C43+C52+C75+C119+C182-35648.24</f>
        <v>3579747.9399999995</v>
      </c>
      <c r="D235" s="7">
        <f>D182+D119+D75+D52+D43+D32+D25+D7</f>
        <v>3733665.5500000003</v>
      </c>
      <c r="E235" s="9">
        <v>-8.6300000000000008</v>
      </c>
      <c r="F235" s="9"/>
      <c r="G235" s="7">
        <f>G7+G25+G32+G43+G52+G75+G119+G182++G66</f>
        <v>3394342.69</v>
      </c>
      <c r="H235" s="59">
        <f t="shared" si="14"/>
        <v>90.911803549195767</v>
      </c>
      <c r="I235" s="56">
        <f>I7+I25+I32+I43+I52+I75+I119+I182+I66</f>
        <v>3792643.19</v>
      </c>
      <c r="J235" s="56">
        <f>J7+J25+J32+J43+J52+J75+J119+J182+J66</f>
        <v>83156</v>
      </c>
      <c r="K235" s="56">
        <f>K7+K25+K32+K43+K52+K75+K119+K182+K66</f>
        <v>3875799.19</v>
      </c>
      <c r="L235" s="87">
        <f t="shared" si="12"/>
        <v>14.184086404074895</v>
      </c>
      <c r="M235" s="87">
        <f t="shared" si="13"/>
        <v>3.8068123161165217</v>
      </c>
    </row>
    <row r="236" spans="1:14" ht="15.75" customHeight="1" x14ac:dyDescent="0.25">
      <c r="A236" s="6">
        <v>60</v>
      </c>
      <c r="B236" s="1" t="s">
        <v>7</v>
      </c>
      <c r="C236" s="8">
        <f>C8+C120</f>
        <v>82779</v>
      </c>
      <c r="D236" s="7">
        <f>D8+D76</f>
        <v>91702.31</v>
      </c>
      <c r="E236" s="9">
        <v>69.69</v>
      </c>
      <c r="F236" s="9"/>
      <c r="G236" s="7">
        <f>G76+G8</f>
        <v>7256.19</v>
      </c>
      <c r="H236" s="59">
        <f t="shared" si="14"/>
        <v>7.9127668648695986</v>
      </c>
      <c r="I236" s="57">
        <f>I8</f>
        <v>97013.49</v>
      </c>
      <c r="J236" s="57"/>
      <c r="K236" s="57">
        <f>K8</f>
        <v>99123</v>
      </c>
      <c r="L236" s="87"/>
      <c r="M236" s="87">
        <f t="shared" si="13"/>
        <v>8.0921516589931066</v>
      </c>
    </row>
    <row r="237" spans="1:14" x14ac:dyDescent="0.25">
      <c r="N237" s="63"/>
    </row>
  </sheetData>
  <mergeCells count="2">
    <mergeCell ref="A1:C1"/>
    <mergeCell ref="D1:H1"/>
  </mergeCells>
  <phoneticPr fontId="18" type="noConversion"/>
  <pageMargins left="0.70866141732283472" right="0.70866141732283472" top="0.74803149606299213" bottom="0.74803149606299213" header="0.31496062992125984" footer="0.31496062992125984"/>
  <pageSetup paperSize="8" scale="8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E8E6B-0644-4717-9513-B10180FA987C}">
  <dimension ref="B2:C9"/>
  <sheetViews>
    <sheetView workbookViewId="0">
      <selection activeCell="B3" sqref="B3:C9"/>
    </sheetView>
  </sheetViews>
  <sheetFormatPr defaultRowHeight="13.2" x14ac:dyDescent="0.25"/>
  <cols>
    <col min="2" max="2" width="40.5546875" customWidth="1"/>
    <col min="3" max="3" width="26.21875" customWidth="1"/>
  </cols>
  <sheetData>
    <row r="2" spans="2:3" ht="13.8" thickBot="1" x14ac:dyDescent="0.3"/>
    <row r="3" spans="2:3" ht="28.2" customHeight="1" thickBot="1" x14ac:dyDescent="0.3">
      <c r="B3" s="162" t="s">
        <v>107</v>
      </c>
      <c r="C3" s="163" t="s">
        <v>108</v>
      </c>
    </row>
    <row r="4" spans="2:3" x14ac:dyDescent="0.25">
      <c r="B4" s="160" t="s">
        <v>109</v>
      </c>
      <c r="C4" s="161">
        <v>225</v>
      </c>
    </row>
    <row r="5" spans="2:3" x14ac:dyDescent="0.25">
      <c r="B5" s="156" t="s">
        <v>110</v>
      </c>
      <c r="C5" s="157" t="s">
        <v>115</v>
      </c>
    </row>
    <row r="6" spans="2:3" x14ac:dyDescent="0.25">
      <c r="B6" s="156" t="s">
        <v>111</v>
      </c>
      <c r="C6" s="157" t="s">
        <v>116</v>
      </c>
    </row>
    <row r="7" spans="2:3" x14ac:dyDescent="0.25">
      <c r="B7" s="156" t="s">
        <v>112</v>
      </c>
      <c r="C7" s="157" t="s">
        <v>117</v>
      </c>
    </row>
    <row r="8" spans="2:3" x14ac:dyDescent="0.25">
      <c r="B8" s="156" t="s">
        <v>113</v>
      </c>
      <c r="C8" s="157" t="s">
        <v>118</v>
      </c>
    </row>
    <row r="9" spans="2:3" ht="13.8" thickBot="1" x14ac:dyDescent="0.3">
      <c r="B9" s="158" t="s">
        <v>114</v>
      </c>
      <c r="C9" s="159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EA Põhitegevuse kulude eelarveosa 091223.xlsx</dc:title>
  <dc:creator>Jelena Aasma</dc:creator>
  <cp:lastModifiedBy>Jelena Aasma</cp:lastModifiedBy>
  <cp:lastPrinted>2026-01-05T09:40:59Z</cp:lastPrinted>
  <dcterms:created xsi:type="dcterms:W3CDTF">2024-01-03T06:58:40Z</dcterms:created>
  <dcterms:modified xsi:type="dcterms:W3CDTF">2026-02-05T20:35:09Z</dcterms:modified>
</cp:coreProperties>
</file>